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PlanilhaCalc\"/>
    </mc:Choice>
  </mc:AlternateContent>
  <xr:revisionPtr revIDLastSave="0" documentId="13_ncr:1_{46BCDECB-6E26-4708-AC14-9F010886C6CA}" xr6:coauthVersionLast="47" xr6:coauthVersionMax="47" xr10:uidLastSave="{00000000-0000-0000-0000-000000000000}"/>
  <bookViews>
    <workbookView xWindow="-120" yWindow="-120" windowWidth="29040" windowHeight="15720" tabRatio="182" xr2:uid="{00000000-000D-0000-FFFF-FFFF00000000}"/>
  </bookViews>
  <sheets>
    <sheet name="FCL" sheetId="4" r:id="rId1"/>
    <sheet name="LCL" sheetId="7" r:id="rId2"/>
  </sheets>
  <definedNames>
    <definedName name="_xlnm.Print_Area" localSheetId="0">FCL!$B$2:$O$117</definedName>
    <definedName name="_xlnm.Print_Area" localSheetId="1">LCL!$B$2:$O$98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7" l="1"/>
  <c r="N78" i="7"/>
  <c r="L78" i="7"/>
  <c r="N68" i="7"/>
  <c r="N64" i="7"/>
  <c r="N63" i="7"/>
  <c r="N61" i="7"/>
  <c r="N46" i="7"/>
  <c r="N44" i="7"/>
  <c r="N42" i="7"/>
  <c r="N31" i="7"/>
  <c r="N29" i="7"/>
  <c r="K95" i="7"/>
  <c r="K72" i="7"/>
  <c r="K68" i="7"/>
  <c r="K64" i="7"/>
  <c r="K63" i="7"/>
  <c r="K61" i="7"/>
  <c r="K57" i="7"/>
  <c r="K55" i="7"/>
  <c r="K46" i="7"/>
  <c r="K44" i="7"/>
  <c r="K42" i="7"/>
  <c r="K41" i="7"/>
  <c r="N41" i="7" s="1"/>
  <c r="K40" i="7"/>
  <c r="N40" i="7" s="1"/>
  <c r="K39" i="7"/>
  <c r="N39" i="7" s="1"/>
  <c r="K38" i="7"/>
  <c r="K37" i="7"/>
  <c r="N37" i="7" s="1"/>
  <c r="K36" i="7"/>
  <c r="N36" i="7" s="1"/>
  <c r="K35" i="7"/>
  <c r="N35" i="7" s="1"/>
  <c r="K31" i="7"/>
  <c r="K29" i="7"/>
  <c r="K47" i="4"/>
  <c r="K46" i="4"/>
  <c r="K59" i="7"/>
  <c r="N59" i="7" s="1"/>
  <c r="K51" i="4"/>
  <c r="N51" i="4" s="1"/>
  <c r="K32" i="4"/>
  <c r="N32" i="4" s="1"/>
  <c r="K31" i="4"/>
  <c r="N31" i="4" s="1"/>
  <c r="K39" i="4"/>
  <c r="N39" i="4" s="1"/>
  <c r="K38" i="4"/>
  <c r="N38" i="4" s="1"/>
  <c r="K37" i="4"/>
  <c r="N37" i="4" s="1"/>
  <c r="K36" i="4"/>
  <c r="N36" i="4" s="1"/>
  <c r="K40" i="4"/>
  <c r="N40" i="4" s="1"/>
  <c r="L19" i="4"/>
  <c r="J26" i="4"/>
  <c r="K43" i="4" s="1"/>
  <c r="J26" i="7"/>
  <c r="K50" i="7" s="1"/>
  <c r="N50" i="7" s="1"/>
  <c r="K49" i="4"/>
  <c r="L52" i="7"/>
  <c r="L50" i="7"/>
  <c r="L48" i="7"/>
  <c r="L46" i="7"/>
  <c r="L31" i="7"/>
  <c r="L29" i="7"/>
  <c r="L44" i="7"/>
  <c r="L42" i="7"/>
  <c r="L61" i="7"/>
  <c r="L63" i="7"/>
  <c r="L64" i="7"/>
  <c r="L68" i="7"/>
  <c r="N34" i="7"/>
  <c r="N33" i="7"/>
  <c r="N47" i="4" l="1"/>
  <c r="K52" i="7"/>
  <c r="N52" i="7" s="1"/>
  <c r="K48" i="7"/>
  <c r="N48" i="7" s="1"/>
  <c r="L40" i="4"/>
  <c r="L43" i="4"/>
  <c r="N43" i="4"/>
  <c r="K41" i="4"/>
  <c r="K42" i="4"/>
  <c r="L42" i="4" l="1"/>
  <c r="N42" i="4"/>
  <c r="L41" i="4"/>
  <c r="N41" i="4"/>
  <c r="N57" i="7"/>
  <c r="K44" i="4"/>
  <c r="K114" i="4"/>
  <c r="K71" i="4"/>
  <c r="K72" i="4"/>
  <c r="N72" i="4" s="1"/>
  <c r="K45" i="4"/>
  <c r="K29" i="4"/>
  <c r="N49" i="4"/>
  <c r="N70" i="7" l="1"/>
  <c r="N69" i="7"/>
  <c r="N67" i="7"/>
  <c r="N66" i="7"/>
  <c r="N65" i="7"/>
  <c r="N58" i="7"/>
  <c r="N50" i="4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K71" i="7"/>
  <c r="N71" i="7" s="1"/>
  <c r="N56" i="7"/>
  <c r="K54" i="7"/>
  <c r="N54" i="7" s="1"/>
  <c r="N55" i="7" s="1"/>
  <c r="N38" i="7"/>
  <c r="K35" i="4"/>
  <c r="N72" i="7" l="1"/>
  <c r="N95" i="7"/>
  <c r="N114" i="4"/>
  <c r="K33" i="4"/>
  <c r="N33" i="4" s="1"/>
  <c r="K34" i="4"/>
  <c r="N34" i="4" s="1"/>
  <c r="N35" i="4"/>
  <c r="N113" i="4"/>
  <c r="L97" i="7" l="1"/>
  <c r="K30" i="4"/>
  <c r="N30" i="4" s="1"/>
  <c r="N29" i="4"/>
  <c r="N110" i="4" l="1"/>
  <c r="N91" i="4"/>
  <c r="N48" i="4"/>
  <c r="N54" i="4" l="1"/>
  <c r="N71" i="4" s="1"/>
  <c r="N112" i="4"/>
  <c r="N111" i="4"/>
  <c r="N109" i="4"/>
  <c r="N103" i="4"/>
  <c r="N102" i="4"/>
  <c r="N101" i="4"/>
  <c r="N100" i="4"/>
  <c r="N99" i="4"/>
  <c r="N108" i="4"/>
  <c r="N107" i="4"/>
  <c r="N106" i="4"/>
  <c r="N105" i="4"/>
  <c r="N104" i="4"/>
  <c r="N98" i="4"/>
  <c r="N97" i="4"/>
  <c r="N96" i="4"/>
  <c r="N95" i="4"/>
  <c r="N94" i="4"/>
  <c r="N93" i="4"/>
  <c r="N92" i="4"/>
  <c r="N90" i="4"/>
  <c r="N89" i="4"/>
  <c r="N88" i="4"/>
  <c r="N87" i="4"/>
  <c r="N76" i="4"/>
  <c r="N75" i="4"/>
  <c r="N74" i="4"/>
  <c r="N63" i="4"/>
  <c r="N57" i="4"/>
  <c r="N86" i="4"/>
  <c r="N85" i="4"/>
  <c r="N84" i="4"/>
  <c r="N83" i="4"/>
  <c r="N82" i="4"/>
  <c r="N81" i="4"/>
  <c r="N80" i="4"/>
  <c r="N79" i="4"/>
  <c r="N78" i="4"/>
  <c r="N73" i="4"/>
  <c r="N70" i="4"/>
  <c r="N69" i="4"/>
  <c r="N68" i="4"/>
  <c r="N67" i="4"/>
  <c r="N66" i="4"/>
  <c r="N65" i="4"/>
  <c r="N64" i="4"/>
  <c r="N62" i="4"/>
  <c r="N61" i="4"/>
  <c r="N60" i="4"/>
  <c r="N59" i="4"/>
  <c r="N56" i="4"/>
  <c r="N55" i="4"/>
  <c r="N53" i="4"/>
  <c r="N44" i="4" l="1"/>
  <c r="N46" i="4"/>
  <c r="N77" i="4"/>
  <c r="N58" i="4"/>
  <c r="N45" i="4" l="1"/>
  <c r="L116" i="4"/>
</calcChain>
</file>

<file path=xl/sharedStrings.xml><?xml version="1.0" encoding="utf-8"?>
<sst xmlns="http://schemas.openxmlformats.org/spreadsheetml/2006/main" count="204" uniqueCount="145">
  <si>
    <t>Valor</t>
  </si>
  <si>
    <t>Total</t>
  </si>
  <si>
    <t>Qtde.</t>
  </si>
  <si>
    <t xml:space="preserve">Saída  </t>
  </si>
  <si>
    <t xml:space="preserve">Entrada  </t>
  </si>
  <si>
    <t>Custos totais (R$)</t>
  </si>
  <si>
    <t>Mercadoria</t>
  </si>
  <si>
    <t>IMO - Carga Perigosa</t>
  </si>
  <si>
    <t>Valor CIF (R$)</t>
  </si>
  <si>
    <t>CÁLCULO DESPESAS IMPORTAÇÃO - TRANSBRASA 2024</t>
  </si>
  <si>
    <t>Tipo de Contêiner</t>
  </si>
  <si>
    <r>
      <rPr>
        <b/>
        <sz val="10"/>
        <rFont val="Arial"/>
        <family val="2"/>
      </rPr>
      <t>1.4.1</t>
    </r>
    <r>
      <rPr>
        <sz val="10"/>
        <rFont val="Arial"/>
        <family val="2"/>
      </rPr>
      <t xml:space="preserve"> Cadastramento eletrônico de dados em sistemas, por BL</t>
    </r>
  </si>
  <si>
    <r>
      <rPr>
        <b/>
        <sz val="10"/>
        <rFont val="Arial"/>
        <family val="2"/>
      </rPr>
      <t>1.4.2</t>
    </r>
    <r>
      <rPr>
        <sz val="10"/>
        <rFont val="Arial"/>
        <family val="2"/>
      </rPr>
      <t xml:space="preserve"> Presença de carga por BL</t>
    </r>
  </si>
  <si>
    <r>
      <rPr>
        <b/>
        <sz val="10"/>
        <rFont val="Arial"/>
        <family val="2"/>
      </rPr>
      <t xml:space="preserve">1.5.1 </t>
    </r>
    <r>
      <rPr>
        <sz val="10"/>
        <rFont val="Arial"/>
        <family val="2"/>
      </rPr>
      <t>Recebimento (Handling In), por contêiner</t>
    </r>
  </si>
  <si>
    <r>
      <rPr>
        <b/>
        <sz val="10"/>
        <rFont val="Arial"/>
        <family val="2"/>
      </rPr>
      <t xml:space="preserve">1.5.2 </t>
    </r>
    <r>
      <rPr>
        <sz val="10"/>
        <rFont val="Arial"/>
        <family val="2"/>
      </rPr>
      <t>Pesagem na entrada e saída do IPA TRANSBRASA, por contêiner</t>
    </r>
  </si>
  <si>
    <r>
      <rPr>
        <b/>
        <sz val="10"/>
        <rFont val="Arial"/>
        <family val="2"/>
      </rPr>
      <t xml:space="preserve">1.5.3 </t>
    </r>
    <r>
      <rPr>
        <sz val="10"/>
        <rFont val="Arial"/>
        <family val="2"/>
      </rPr>
      <t>Inspeção não invasiva (Scanner), por contêiner</t>
    </r>
  </si>
  <si>
    <r>
      <rPr>
        <b/>
        <sz val="10"/>
        <rFont val="Arial"/>
        <family val="2"/>
      </rPr>
      <t xml:space="preserve">1.5.4 </t>
    </r>
    <r>
      <rPr>
        <sz val="10"/>
        <rFont val="Arial"/>
        <family val="2"/>
      </rPr>
      <t>Carregamento (Handling out), por contêiner</t>
    </r>
  </si>
  <si>
    <r>
      <rPr>
        <b/>
        <sz val="10"/>
        <rFont val="Arial"/>
        <family val="2"/>
      </rPr>
      <t xml:space="preserve">1.6.2 </t>
    </r>
    <r>
      <rPr>
        <sz val="10"/>
        <rFont val="Arial"/>
        <family val="2"/>
      </rPr>
      <t>Pesagem na entrada e saída do IPA TRANSBRASA, por BL</t>
    </r>
  </si>
  <si>
    <r>
      <rPr>
        <b/>
        <sz val="10"/>
        <rFont val="Arial"/>
        <family val="2"/>
      </rPr>
      <t xml:space="preserve">2.1.1 </t>
    </r>
    <r>
      <rPr>
        <sz val="10"/>
        <rFont val="Arial"/>
        <family val="2"/>
      </rPr>
      <t>Saneamento de mercadorias, por contêiner</t>
    </r>
  </si>
  <si>
    <r>
      <rPr>
        <b/>
        <sz val="10"/>
        <rFont val="Arial"/>
        <family val="2"/>
      </rPr>
      <t xml:space="preserve">1.6.3 </t>
    </r>
    <r>
      <rPr>
        <sz val="10"/>
        <rFont val="Arial"/>
        <family val="2"/>
      </rPr>
      <t>Inspeção não invasiva (Scanner), de contêiner LCL, por BL</t>
    </r>
  </si>
  <si>
    <r>
      <rPr>
        <b/>
        <sz val="10"/>
        <rFont val="Arial"/>
        <family val="2"/>
      </rPr>
      <t xml:space="preserve">1.10.6 </t>
    </r>
    <r>
      <rPr>
        <sz val="10"/>
        <rFont val="Arial"/>
        <family val="2"/>
      </rPr>
      <t>Imobilizações de veículos Transbrasa no operador portuário, serão cobrados por 6 horas ou fração</t>
    </r>
  </si>
  <si>
    <r>
      <rPr>
        <b/>
        <sz val="10"/>
        <rFont val="Arial"/>
        <family val="2"/>
      </rPr>
      <t xml:space="preserve">1.10.9 </t>
    </r>
    <r>
      <rPr>
        <sz val="10"/>
        <rFont val="Arial"/>
        <family val="2"/>
      </rPr>
      <t>Descarga direta nos OP de cargas perigosas de ou para veículos IPA Transbrasa, por hora/fração</t>
    </r>
  </si>
  <si>
    <r>
      <rPr>
        <b/>
        <sz val="10"/>
        <rFont val="Arial"/>
        <family val="2"/>
      </rPr>
      <t xml:space="preserve">2.1.2 </t>
    </r>
    <r>
      <rPr>
        <sz val="10"/>
        <rFont val="Arial"/>
        <family val="2"/>
      </rPr>
      <t>Posicionamento de contêiner FCL por demanda (fiscalização, desovas e outros), por contêiner</t>
    </r>
  </si>
  <si>
    <r>
      <rPr>
        <b/>
        <sz val="10"/>
        <rFont val="Arial"/>
        <family val="2"/>
      </rPr>
      <t xml:space="preserve">2.1.3 </t>
    </r>
    <r>
      <rPr>
        <sz val="10"/>
        <rFont val="Arial"/>
        <family val="2"/>
      </rPr>
      <t>Serviço de Abertura e relacre, por contêiner</t>
    </r>
  </si>
  <si>
    <r>
      <rPr>
        <b/>
        <sz val="10"/>
        <rFont val="Arial"/>
        <family val="2"/>
      </rPr>
      <t xml:space="preserve">2.1.4 </t>
    </r>
    <r>
      <rPr>
        <sz val="10"/>
        <rFont val="Arial"/>
        <family val="2"/>
      </rPr>
      <t>Retirada manual de até 02 volumes, para inspeção fiscal, por contêiner</t>
    </r>
  </si>
  <si>
    <r>
      <rPr>
        <b/>
        <sz val="10"/>
        <rFont val="Arial"/>
        <family val="2"/>
      </rPr>
      <t xml:space="preserve">2.1.5 </t>
    </r>
    <r>
      <rPr>
        <sz val="10"/>
        <rFont val="Arial"/>
        <family val="2"/>
      </rPr>
      <t>Retirada mecanizada de até 02 volumes, para inspeção fiscal, por contêiner</t>
    </r>
  </si>
  <si>
    <r>
      <rPr>
        <b/>
        <sz val="10"/>
        <rFont val="Arial"/>
        <family val="2"/>
      </rPr>
      <t xml:space="preserve">2.1.6 </t>
    </r>
    <r>
      <rPr>
        <sz val="10"/>
        <rFont val="Arial"/>
        <family val="2"/>
      </rPr>
      <t>Desova direta para caminhão (DDC) com 01 empilhadeira de 2,5 a 4,0 tons, por contêiner</t>
    </r>
  </si>
  <si>
    <r>
      <rPr>
        <b/>
        <sz val="10"/>
        <rFont val="Arial"/>
        <family val="2"/>
      </rPr>
      <t xml:space="preserve">2.1.7 </t>
    </r>
    <r>
      <rPr>
        <sz val="10"/>
        <rFont val="Arial"/>
        <family val="2"/>
      </rPr>
      <t>Desova ou ova mecanizada (Empilhadeira de 2,5 tons), por contêiner / operação</t>
    </r>
  </si>
  <si>
    <r>
      <rPr>
        <b/>
        <sz val="10"/>
        <rFont val="Arial"/>
        <family val="2"/>
      </rPr>
      <t xml:space="preserve">2.1.8 </t>
    </r>
    <r>
      <rPr>
        <sz val="10"/>
        <rFont val="Arial"/>
        <family val="2"/>
      </rPr>
      <t>Desova ou ova manual (Incluso dois ajudantes), por contêiner / operação</t>
    </r>
  </si>
  <si>
    <r>
      <rPr>
        <b/>
        <sz val="10"/>
        <rFont val="Arial"/>
        <family val="2"/>
      </rPr>
      <t xml:space="preserve">2.1.9 </t>
    </r>
    <r>
      <rPr>
        <sz val="10"/>
        <rFont val="Arial"/>
        <family val="2"/>
      </rPr>
      <t>Transbordo de carga líquida via bombeamento (equipamento dedicado), por contêiner</t>
    </r>
  </si>
  <si>
    <r>
      <rPr>
        <b/>
        <sz val="10"/>
        <rFont val="Arial"/>
        <family val="2"/>
      </rPr>
      <t xml:space="preserve">2.1.10 </t>
    </r>
    <r>
      <rPr>
        <sz val="10"/>
        <rFont val="Arial"/>
        <family val="2"/>
      </rPr>
      <t>Desova Fiscal parcial (Empilhadeira até 2,5 tons e inclusos 02 ajudantes), por contêiner</t>
    </r>
  </si>
  <si>
    <r>
      <rPr>
        <b/>
        <sz val="10"/>
        <rFont val="Arial"/>
        <family val="2"/>
      </rPr>
      <t xml:space="preserve">2.1.11 </t>
    </r>
    <r>
      <rPr>
        <sz val="10"/>
        <rFont val="Arial"/>
        <family val="2"/>
      </rPr>
      <t>Desova Fiscal total (Empilhadeira até 2,5 tons e inclusos 02 ajudantes), por contêiner</t>
    </r>
  </si>
  <si>
    <r>
      <rPr>
        <b/>
        <sz val="10"/>
        <rFont val="Arial"/>
        <family val="2"/>
      </rPr>
      <t xml:space="preserve">2.1.12 </t>
    </r>
    <r>
      <rPr>
        <sz val="10"/>
        <rFont val="Arial"/>
        <family val="2"/>
      </rPr>
      <t>Plugagem/Desplugagem e monitoramento Reefer (por contêiner/dia)</t>
    </r>
  </si>
  <si>
    <r>
      <rPr>
        <b/>
        <sz val="10"/>
        <rFont val="Arial"/>
        <family val="2"/>
      </rPr>
      <t xml:space="preserve">2.1.13 </t>
    </r>
    <r>
      <rPr>
        <sz val="10"/>
        <rFont val="Arial"/>
        <family val="2"/>
      </rPr>
      <t>Coleta de amostra, por contêiner</t>
    </r>
  </si>
  <si>
    <r>
      <rPr>
        <b/>
        <sz val="10"/>
        <rFont val="Arial"/>
        <family val="2"/>
      </rPr>
      <t xml:space="preserve">2.1.14 </t>
    </r>
    <r>
      <rPr>
        <sz val="10"/>
        <rFont val="Arial"/>
        <family val="2"/>
      </rPr>
      <t>Utilização de bacia de contenção, por período de 12 horas/contêiner</t>
    </r>
  </si>
  <si>
    <r>
      <rPr>
        <b/>
        <sz val="10"/>
        <rFont val="Arial"/>
        <family val="2"/>
      </rPr>
      <t xml:space="preserve">2.1.15 </t>
    </r>
    <r>
      <rPr>
        <sz val="10"/>
        <rFont val="Arial"/>
        <family val="2"/>
      </rPr>
      <t>Ajudante adicional, por ajudante</t>
    </r>
  </si>
  <si>
    <r>
      <rPr>
        <b/>
        <sz val="10"/>
        <rFont val="Arial"/>
        <family val="2"/>
      </rPr>
      <t xml:space="preserve">2.1.16 </t>
    </r>
    <r>
      <rPr>
        <sz val="10"/>
        <rFont val="Arial"/>
        <family val="2"/>
      </rPr>
      <t>Reparo provisório de contêiner com fita silver tape (sujeito à avaliação)</t>
    </r>
  </si>
  <si>
    <r>
      <rPr>
        <b/>
        <sz val="10"/>
        <rFont val="Arial"/>
        <family val="2"/>
      </rPr>
      <t xml:space="preserve">2.1.17 </t>
    </r>
    <r>
      <rPr>
        <sz val="10"/>
        <rFont val="Arial"/>
        <family val="2"/>
      </rPr>
      <t>Descumprimento de agendamento/janela de entrega ou retirada (No show), por contêiner</t>
    </r>
  </si>
  <si>
    <r>
      <rPr>
        <b/>
        <sz val="10"/>
        <rFont val="Arial"/>
        <family val="2"/>
      </rPr>
      <t xml:space="preserve">2.1.18 </t>
    </r>
    <r>
      <rPr>
        <sz val="10"/>
        <rFont val="Arial"/>
        <family val="2"/>
      </rPr>
      <t>Carregamento extraordinário (antecipação de agendamento), por contêiner</t>
    </r>
  </si>
  <si>
    <r>
      <rPr>
        <b/>
        <sz val="10"/>
        <rFont val="Arial"/>
        <family val="2"/>
      </rPr>
      <t xml:space="preserve">2.2.10 </t>
    </r>
    <r>
      <rPr>
        <sz val="10"/>
        <rFont val="Arial"/>
        <family val="2"/>
      </rPr>
      <t>Carregamento extraordinário (antecipação de agendamento), por BL</t>
    </r>
  </si>
  <si>
    <r>
      <rPr>
        <b/>
        <sz val="10"/>
        <rFont val="Arial"/>
        <family val="2"/>
      </rPr>
      <t xml:space="preserve">3.1.1 </t>
    </r>
    <r>
      <rPr>
        <sz val="10"/>
        <rFont val="Arial"/>
        <family val="2"/>
      </rPr>
      <t>De ou para terminais Santos</t>
    </r>
  </si>
  <si>
    <r>
      <rPr>
        <b/>
        <sz val="10"/>
        <rFont val="Arial"/>
        <family val="2"/>
      </rPr>
      <t xml:space="preserve">3.1.2 </t>
    </r>
    <r>
      <rPr>
        <sz val="10"/>
        <rFont val="Arial"/>
        <family val="2"/>
      </rPr>
      <t>De ou para terminais São Vicente</t>
    </r>
  </si>
  <si>
    <r>
      <rPr>
        <b/>
        <sz val="10"/>
        <rFont val="Arial"/>
        <family val="2"/>
      </rPr>
      <t xml:space="preserve">3.1.3 </t>
    </r>
    <r>
      <rPr>
        <sz val="10"/>
        <rFont val="Arial"/>
        <family val="2"/>
      </rPr>
      <t>De ou para terminais Cubatão</t>
    </r>
  </si>
  <si>
    <r>
      <rPr>
        <b/>
        <sz val="10"/>
        <rFont val="Arial"/>
        <family val="2"/>
      </rPr>
      <t xml:space="preserve">3.1.4 </t>
    </r>
    <r>
      <rPr>
        <sz val="10"/>
        <rFont val="Arial"/>
        <family val="2"/>
      </rPr>
      <t>De ou para terminais Praia Grande</t>
    </r>
  </si>
  <si>
    <r>
      <rPr>
        <b/>
        <sz val="10"/>
        <rFont val="Arial"/>
        <family val="2"/>
      </rPr>
      <t xml:space="preserve">3.1.5 </t>
    </r>
    <r>
      <rPr>
        <sz val="10"/>
        <rFont val="Arial"/>
        <family val="2"/>
      </rPr>
      <t>De ou para terminais Guarujá ou Ilha Barnabé</t>
    </r>
  </si>
  <si>
    <r>
      <rPr>
        <b/>
        <sz val="10"/>
        <rFont val="Arial"/>
        <family val="2"/>
      </rPr>
      <t xml:space="preserve">3.3.2 </t>
    </r>
    <r>
      <rPr>
        <sz val="10"/>
        <rFont val="Arial"/>
        <family val="2"/>
      </rPr>
      <t>Repesagem de contêiner, por contêiner</t>
    </r>
  </si>
  <si>
    <r>
      <rPr>
        <b/>
        <sz val="10"/>
        <rFont val="Arial"/>
        <family val="2"/>
      </rPr>
      <t xml:space="preserve">3.3.3 </t>
    </r>
    <r>
      <rPr>
        <sz val="10"/>
        <rFont val="Arial"/>
        <family val="2"/>
      </rPr>
      <t>Varredura do contêiner pós desova, por contêiner</t>
    </r>
  </si>
  <si>
    <r>
      <rPr>
        <b/>
        <sz val="10"/>
        <rFont val="Arial"/>
        <family val="2"/>
      </rPr>
      <t xml:space="preserve">3.3.4 </t>
    </r>
    <r>
      <rPr>
        <sz val="10"/>
        <rFont val="Arial"/>
        <family val="2"/>
      </rPr>
      <t>Varredura do contêiner (LCL) pós desova, por BL</t>
    </r>
  </si>
  <si>
    <r>
      <rPr>
        <b/>
        <sz val="10"/>
        <rFont val="Arial"/>
        <family val="2"/>
      </rPr>
      <t xml:space="preserve">3.3.5 </t>
    </r>
    <r>
      <rPr>
        <sz val="10"/>
        <rFont val="Arial"/>
        <family val="2"/>
      </rPr>
      <t>Atendimento MAPA (LCL), por BL</t>
    </r>
  </si>
  <si>
    <r>
      <rPr>
        <b/>
        <sz val="10"/>
        <rFont val="Arial"/>
        <family val="2"/>
      </rPr>
      <t xml:space="preserve">3.3.6 </t>
    </r>
    <r>
      <rPr>
        <sz val="10"/>
        <rFont val="Arial"/>
        <family val="2"/>
      </rPr>
      <t>Alteração de Set Point de contêiner Reefer, por contêiner</t>
    </r>
  </si>
  <si>
    <r>
      <rPr>
        <b/>
        <sz val="10"/>
        <rFont val="Arial"/>
        <family val="2"/>
      </rPr>
      <t xml:space="preserve">3.3.7 </t>
    </r>
    <r>
      <rPr>
        <sz val="10"/>
        <rFont val="Arial"/>
        <family val="2"/>
      </rPr>
      <t>Remoção interna para desblocamento (atendimento fiscalização e outros), por movimento</t>
    </r>
  </si>
  <si>
    <r>
      <rPr>
        <b/>
        <sz val="10"/>
        <rFont val="Arial"/>
        <family val="2"/>
      </rPr>
      <t xml:space="preserve">3.3.8 </t>
    </r>
    <r>
      <rPr>
        <sz val="10"/>
        <rFont val="Arial"/>
        <family val="2"/>
      </rPr>
      <t>Fornecimento de Certificados (Opcional)</t>
    </r>
  </si>
  <si>
    <r>
      <rPr>
        <b/>
        <sz val="10"/>
        <rFont val="Arial"/>
        <family val="2"/>
      </rPr>
      <t xml:space="preserve">3.3.9 </t>
    </r>
    <r>
      <rPr>
        <sz val="10"/>
        <rFont val="Arial"/>
        <family val="2"/>
      </rPr>
      <t>Foto simples - lote com 5 digitais</t>
    </r>
  </si>
  <si>
    <r>
      <rPr>
        <b/>
        <sz val="10"/>
        <rFont val="Arial"/>
        <family val="2"/>
      </rPr>
      <t xml:space="preserve">3.3.10 </t>
    </r>
    <r>
      <rPr>
        <sz val="10"/>
        <rFont val="Arial"/>
        <family val="2"/>
      </rPr>
      <t>Foto de vistoria aduaneira / seguro (lote de 8 a 10 fotos digitais)</t>
    </r>
  </si>
  <si>
    <r>
      <rPr>
        <b/>
        <sz val="10"/>
        <rFont val="Arial"/>
        <family val="2"/>
      </rPr>
      <t xml:space="preserve">3.4.1 </t>
    </r>
    <r>
      <rPr>
        <sz val="10"/>
        <rFont val="Arial"/>
        <family val="2"/>
      </rPr>
      <t>Empilhadeira de 2,5 tons a 4,0 tons (adicional)</t>
    </r>
  </si>
  <si>
    <r>
      <rPr>
        <b/>
        <sz val="10"/>
        <rFont val="Arial"/>
        <family val="2"/>
      </rPr>
      <t xml:space="preserve">3.4.2 </t>
    </r>
    <r>
      <rPr>
        <sz val="10"/>
        <rFont val="Arial"/>
        <family val="2"/>
      </rPr>
      <t>Empilhadeira de 7,0 tons</t>
    </r>
  </si>
  <si>
    <r>
      <rPr>
        <b/>
        <sz val="10"/>
        <rFont val="Arial"/>
        <family val="2"/>
      </rPr>
      <t xml:space="preserve">3.4.3 </t>
    </r>
    <r>
      <rPr>
        <sz val="10"/>
        <rFont val="Arial"/>
        <family val="2"/>
      </rPr>
      <t>Empilhadeira de 18,0 tons (Mec Lift)</t>
    </r>
  </si>
  <si>
    <r>
      <rPr>
        <b/>
        <sz val="10"/>
        <rFont val="Arial"/>
        <family val="2"/>
      </rPr>
      <t xml:space="preserve">3.4.4 </t>
    </r>
    <r>
      <rPr>
        <sz val="10"/>
        <rFont val="Arial"/>
        <family val="2"/>
      </rPr>
      <t>Empilhadeira de 45,0 tons (Reach Stacker)</t>
    </r>
  </si>
  <si>
    <r>
      <rPr>
        <b/>
        <sz val="10"/>
        <rFont val="Arial"/>
        <family val="2"/>
      </rPr>
      <t xml:space="preserve">3.4.5 </t>
    </r>
    <r>
      <rPr>
        <sz val="10"/>
        <rFont val="Arial"/>
        <family val="2"/>
      </rPr>
      <t>Alongador</t>
    </r>
  </si>
  <si>
    <r>
      <rPr>
        <b/>
        <sz val="10"/>
        <rFont val="Arial"/>
        <family val="2"/>
      </rPr>
      <t xml:space="preserve">3.4.6 </t>
    </r>
    <r>
      <rPr>
        <sz val="10"/>
        <rFont val="Arial"/>
        <family val="2"/>
      </rPr>
      <t>Suspensor</t>
    </r>
  </si>
  <si>
    <r>
      <rPr>
        <b/>
        <sz val="10"/>
        <rFont val="Arial"/>
        <family val="2"/>
      </rPr>
      <t xml:space="preserve">3.5.1 </t>
    </r>
    <r>
      <rPr>
        <sz val="10"/>
        <rFont val="Arial"/>
        <family val="2"/>
      </rPr>
      <t>Utilização de Câmara fria - por contêiner/dia - Resfriado (acima de 8ºC)</t>
    </r>
  </si>
  <si>
    <r>
      <rPr>
        <b/>
        <sz val="10"/>
        <rFont val="Arial"/>
        <family val="2"/>
      </rPr>
      <t xml:space="preserve">3.5.2 </t>
    </r>
    <r>
      <rPr>
        <sz val="10"/>
        <rFont val="Arial"/>
        <family val="2"/>
      </rPr>
      <t>Utilização de Câmara fria - por contêiner/dia - Congelado (abaixo de 8ºC)</t>
    </r>
  </si>
  <si>
    <r>
      <rPr>
        <b/>
        <sz val="10"/>
        <rFont val="Arial"/>
        <family val="2"/>
      </rPr>
      <t xml:space="preserve">3.5.3 </t>
    </r>
    <r>
      <rPr>
        <sz val="10"/>
        <rFont val="Arial"/>
        <family val="2"/>
      </rPr>
      <t>Remoção de contêineres para reinspeção (c/ posicionamento incluso)</t>
    </r>
  </si>
  <si>
    <r>
      <rPr>
        <b/>
        <sz val="10"/>
        <rFont val="Arial"/>
        <family val="2"/>
      </rPr>
      <t xml:space="preserve">3.5.4 </t>
    </r>
    <r>
      <rPr>
        <sz val="10"/>
        <rFont val="Arial"/>
        <family val="2"/>
      </rPr>
      <t>Retirada manual de até 02 volumes - Resfriado (acima de 8ºC)</t>
    </r>
  </si>
  <si>
    <r>
      <rPr>
        <b/>
        <sz val="10"/>
        <rFont val="Arial"/>
        <family val="2"/>
      </rPr>
      <t xml:space="preserve">3.5.5 </t>
    </r>
    <r>
      <rPr>
        <sz val="10"/>
        <rFont val="Arial"/>
        <family val="2"/>
      </rPr>
      <t>Retirada manual de até 02 volumes - Congelado (abaixo de 8ºC)</t>
    </r>
  </si>
  <si>
    <r>
      <rPr>
        <b/>
        <sz val="10"/>
        <rFont val="Arial"/>
        <family val="2"/>
      </rPr>
      <t xml:space="preserve">3.5.6 </t>
    </r>
    <r>
      <rPr>
        <sz val="10"/>
        <rFont val="Arial"/>
        <family val="2"/>
      </rPr>
      <t>Retirada mecanizada de até 02 volumes - Resfriado (acima de 8ºC)</t>
    </r>
  </si>
  <si>
    <r>
      <rPr>
        <b/>
        <sz val="10"/>
        <rFont val="Arial"/>
        <family val="2"/>
      </rPr>
      <t xml:space="preserve">3.5.7 </t>
    </r>
    <r>
      <rPr>
        <sz val="10"/>
        <rFont val="Arial"/>
        <family val="2"/>
      </rPr>
      <t>Retirada mecanizada de até 02 volumes - Congelado (abaixo de 8ºC)</t>
    </r>
  </si>
  <si>
    <r>
      <rPr>
        <b/>
        <sz val="10"/>
        <rFont val="Arial"/>
        <family val="2"/>
      </rPr>
      <t xml:space="preserve">3.5.8 </t>
    </r>
    <r>
      <rPr>
        <sz val="10"/>
        <rFont val="Arial"/>
        <family val="2"/>
      </rPr>
      <t>Desova e ova parcial - Resfriado (acima de 8ºC)</t>
    </r>
  </si>
  <si>
    <r>
      <rPr>
        <b/>
        <sz val="10"/>
        <rFont val="Arial"/>
        <family val="2"/>
      </rPr>
      <t xml:space="preserve">3.5.9 </t>
    </r>
    <r>
      <rPr>
        <sz val="10"/>
        <rFont val="Arial"/>
        <family val="2"/>
      </rPr>
      <t>Desova e ova parcial - Congelado (abaixo de 8ºC)</t>
    </r>
  </si>
  <si>
    <r>
      <rPr>
        <b/>
        <sz val="10"/>
        <rFont val="Arial"/>
        <family val="2"/>
      </rPr>
      <t xml:space="preserve">3.5.10 </t>
    </r>
    <r>
      <rPr>
        <sz val="10"/>
        <rFont val="Arial"/>
        <family val="2"/>
      </rPr>
      <t>Desova e ova total mecanizada - Resfriado (acima de 8ºC)</t>
    </r>
  </si>
  <si>
    <r>
      <rPr>
        <b/>
        <sz val="10"/>
        <rFont val="Arial"/>
        <family val="2"/>
      </rPr>
      <t xml:space="preserve">3.5.11 </t>
    </r>
    <r>
      <rPr>
        <sz val="10"/>
        <rFont val="Arial"/>
        <family val="2"/>
      </rPr>
      <t>Desova e ova total mecanizada - Congelado (abaixo de 8ºC)</t>
    </r>
  </si>
  <si>
    <r>
      <rPr>
        <b/>
        <sz val="10"/>
        <rFont val="Arial"/>
        <family val="2"/>
      </rPr>
      <t xml:space="preserve">3.5.12 </t>
    </r>
    <r>
      <rPr>
        <sz val="10"/>
        <rFont val="Arial"/>
        <family val="2"/>
      </rPr>
      <t>Desova e ova total manual - Resfriado (acima de 8ºC)</t>
    </r>
  </si>
  <si>
    <r>
      <rPr>
        <b/>
        <sz val="10"/>
        <rFont val="Arial"/>
        <family val="2"/>
      </rPr>
      <t xml:space="preserve">3.5.13 </t>
    </r>
    <r>
      <rPr>
        <sz val="10"/>
        <rFont val="Arial"/>
        <family val="2"/>
      </rPr>
      <t>Desova e ova total manual - Congelado (abaixo de 8ºC)</t>
    </r>
  </si>
  <si>
    <r>
      <rPr>
        <b/>
        <sz val="10"/>
        <rFont val="Arial"/>
        <family val="2"/>
      </rPr>
      <t xml:space="preserve">3.5.14 </t>
    </r>
    <r>
      <rPr>
        <sz val="10"/>
        <rFont val="Arial"/>
        <family val="2"/>
      </rPr>
      <t>Setup de temperatura da câmara fria dia anterior</t>
    </r>
  </si>
  <si>
    <r>
      <rPr>
        <b/>
        <sz val="10"/>
        <rFont val="Arial"/>
        <family val="2"/>
      </rPr>
      <t xml:space="preserve">3.5.15 </t>
    </r>
    <r>
      <rPr>
        <sz val="10"/>
        <rFont val="Arial"/>
        <family val="2"/>
      </rPr>
      <t>Emissão de certificado de monitoramento</t>
    </r>
  </si>
  <si>
    <r>
      <rPr>
        <b/>
        <sz val="10"/>
        <rFont val="Arial"/>
        <family val="2"/>
      </rPr>
      <t xml:space="preserve">3.5.16 </t>
    </r>
    <r>
      <rPr>
        <sz val="10"/>
        <rFont val="Arial"/>
        <family val="2"/>
      </rPr>
      <t>Plugagem/desplugagem de reefer locado</t>
    </r>
  </si>
  <si>
    <r>
      <rPr>
        <b/>
        <sz val="10"/>
        <rFont val="Arial"/>
        <family val="2"/>
      </rPr>
      <t xml:space="preserve">4.1.2 </t>
    </r>
    <r>
      <rPr>
        <sz val="10"/>
        <rFont val="Arial"/>
        <family val="2"/>
      </rPr>
      <t>Aquecimento de contêineres ISOTANKS/FLEXITANKS e monitoramento (cobrança diária)</t>
    </r>
  </si>
  <si>
    <r>
      <rPr>
        <b/>
        <sz val="10"/>
        <rFont val="Arial"/>
        <family val="2"/>
      </rPr>
      <t xml:space="preserve">4.3.1 </t>
    </r>
    <r>
      <rPr>
        <sz val="10"/>
        <rFont val="Arial"/>
        <family val="2"/>
      </rPr>
      <t>Movimentação para paletização, por pallet</t>
    </r>
  </si>
  <si>
    <r>
      <rPr>
        <b/>
        <sz val="10"/>
        <rFont val="Arial"/>
        <family val="2"/>
      </rPr>
      <t xml:space="preserve">4.3.2 </t>
    </r>
    <r>
      <rPr>
        <sz val="10"/>
        <rFont val="Arial"/>
        <family val="2"/>
      </rPr>
      <t>Mão de obra - montagem ou desmontagem de pallets, por pallet</t>
    </r>
  </si>
  <si>
    <r>
      <rPr>
        <b/>
        <sz val="10"/>
        <rFont val="Arial"/>
        <family val="2"/>
      </rPr>
      <t xml:space="preserve">4.3.3 </t>
    </r>
    <r>
      <rPr>
        <sz val="10"/>
        <rFont val="Arial"/>
        <family val="2"/>
      </rPr>
      <t>Fornecimento de pallets de madeira (1,99 x 1,20cm - PBR), por pallet</t>
    </r>
  </si>
  <si>
    <r>
      <rPr>
        <b/>
        <sz val="10"/>
        <rFont val="Arial"/>
        <family val="2"/>
      </rPr>
      <t xml:space="preserve">4.5.1 </t>
    </r>
    <r>
      <rPr>
        <sz val="10"/>
        <rFont val="Arial"/>
        <family val="2"/>
      </rPr>
      <t>Manuseio de Genset, por movimento</t>
    </r>
  </si>
  <si>
    <r>
      <rPr>
        <b/>
        <sz val="10"/>
        <rFont val="Arial"/>
        <family val="2"/>
      </rPr>
      <t xml:space="preserve">4.5.2 </t>
    </r>
    <r>
      <rPr>
        <sz val="10"/>
        <rFont val="Arial"/>
        <family val="2"/>
      </rPr>
      <t>Armazenagem de Genset, por dia</t>
    </r>
  </si>
  <si>
    <t>NORMAL</t>
  </si>
  <si>
    <t>30%</t>
  </si>
  <si>
    <r>
      <rPr>
        <b/>
        <sz val="10"/>
        <rFont val="Arial"/>
        <family val="2"/>
      </rPr>
      <t xml:space="preserve">1.10.7 </t>
    </r>
    <r>
      <rPr>
        <sz val="10"/>
        <rFont val="Arial"/>
        <family val="2"/>
      </rPr>
      <t>Adicional sobre serviços de transportes para contêineres ou cargas soltas com peso bruto superior a 25t.</t>
    </r>
  </si>
  <si>
    <r>
      <rPr>
        <b/>
        <sz val="10"/>
        <rFont val="Arial"/>
        <family val="2"/>
      </rPr>
      <t>1.1.1</t>
    </r>
    <r>
      <rPr>
        <sz val="10"/>
        <rFont val="Arial"/>
        <family val="2"/>
      </rPr>
      <t xml:space="preserve"> De ou para operador portuário na Margem Direita - por contêiner</t>
    </r>
  </si>
  <si>
    <t>ESQUERDA</t>
  </si>
  <si>
    <t>DIREITA</t>
  </si>
  <si>
    <t>Margem</t>
  </si>
  <si>
    <t>Contêineres acima de 25t.</t>
  </si>
  <si>
    <r>
      <rPr>
        <b/>
        <sz val="10"/>
        <rFont val="Arial"/>
        <family val="2"/>
      </rPr>
      <t>1.4.3</t>
    </r>
    <r>
      <rPr>
        <sz val="10"/>
        <rFont val="Arial"/>
        <family val="2"/>
      </rPr>
      <t xml:space="preserve"> Seguro sobre o valor CIF para carga solta ou mercadorias em contêineres convencionais ("carga seca")</t>
    </r>
  </si>
  <si>
    <r>
      <rPr>
        <b/>
        <sz val="10"/>
        <rFont val="Arial"/>
        <family val="2"/>
      </rPr>
      <t>1.4.4</t>
    </r>
    <r>
      <rPr>
        <sz val="10"/>
        <rFont val="Arial"/>
        <family val="2"/>
      </rPr>
      <t xml:space="preserve"> Seguro sobre o valor CIF para mercadorias em contêineres refrigerados (reefers)</t>
    </r>
  </si>
  <si>
    <r>
      <rPr>
        <b/>
        <sz val="10"/>
        <rFont val="Arial"/>
        <family val="2"/>
      </rPr>
      <t>1.4.5</t>
    </r>
    <r>
      <rPr>
        <sz val="10"/>
        <rFont val="Arial"/>
        <family val="2"/>
      </rPr>
      <t xml:space="preserve"> Gerenciamento de risco sobre o valor CIF</t>
    </r>
  </si>
  <si>
    <t>0,35%</t>
  </si>
  <si>
    <t>0,40%</t>
  </si>
  <si>
    <t>0,10%</t>
  </si>
  <si>
    <t>100%</t>
  </si>
  <si>
    <r>
      <rPr>
        <b/>
        <sz val="10"/>
        <rFont val="Arial"/>
        <family val="2"/>
      </rPr>
      <t xml:space="preserve">1.10.1 </t>
    </r>
    <r>
      <rPr>
        <sz val="10"/>
        <rFont val="Arial"/>
        <family val="2"/>
      </rPr>
      <t>Adicional sobre o valor dos serviços itens 1.5, 1.6, 1.7, 1.8 e 1,9 - prestados com mercadorias ANVISA</t>
    </r>
  </si>
  <si>
    <r>
      <rPr>
        <b/>
        <sz val="10"/>
        <rFont val="Arial"/>
        <family val="2"/>
      </rPr>
      <t xml:space="preserve">1.10.2 </t>
    </r>
    <r>
      <rPr>
        <sz val="10"/>
        <rFont val="Arial"/>
        <family val="2"/>
      </rPr>
      <t>Adicional sobre o valor dos serviços inerentes prestados com mercadorias classificadas como IMO (1 a 9)</t>
    </r>
  </si>
  <si>
    <r>
      <rPr>
        <b/>
        <sz val="10"/>
        <rFont val="Arial"/>
        <family val="2"/>
      </rPr>
      <t xml:space="preserve">2.3.1 </t>
    </r>
    <r>
      <rPr>
        <sz val="10"/>
        <rFont val="Arial"/>
        <family val="2"/>
      </rPr>
      <t>Ad s/ valor dos serv. prestados c/ merc. ANVISA, exceto sobre itens 2.1.12; 2.1.16; 2.1.17; 2.2.9 e 2.2.10</t>
    </r>
  </si>
  <si>
    <r>
      <rPr>
        <b/>
        <sz val="10"/>
        <rFont val="Arial"/>
        <family val="2"/>
      </rPr>
      <t xml:space="preserve">2.3.2 </t>
    </r>
    <r>
      <rPr>
        <sz val="10"/>
        <rFont val="Arial"/>
        <family val="2"/>
      </rPr>
      <t>Ad s/ valor dos serv. prestados c/ merc. IMO (1 a 9), exceto sobre itens 2.1.12; 2.1.16; 2.1.17; 2.2.9 e 2.2.10</t>
    </r>
  </si>
  <si>
    <t>FLAT RACK - HARD TOP - OPEN TOP - PLATFORM com excesso altura e/ou largura</t>
  </si>
  <si>
    <t>INSULADO - REEFER ligado</t>
  </si>
  <si>
    <t>ANVISA</t>
  </si>
  <si>
    <r>
      <t xml:space="preserve">4.6.1 </t>
    </r>
    <r>
      <rPr>
        <sz val="10"/>
        <rFont val="Arial"/>
        <family val="2"/>
      </rPr>
      <t>Ad. s/ valor de serviços prestados com mercadorias IMO (1 a 9)</t>
    </r>
  </si>
  <si>
    <r>
      <rPr>
        <b/>
        <sz val="10"/>
        <rFont val="Arial"/>
        <family val="2"/>
      </rPr>
      <t xml:space="preserve">1.8.1 </t>
    </r>
    <r>
      <rPr>
        <sz val="10"/>
        <rFont val="Arial"/>
        <family val="2"/>
      </rPr>
      <t>1º Período de 07 dias ou fração, cobrança sobre o maior valor (1% s/ CIF ou R$ 2.600,00 mínimo p/ contêiner)</t>
    </r>
  </si>
  <si>
    <r>
      <rPr>
        <b/>
        <sz val="10"/>
        <rFont val="Arial"/>
        <family val="2"/>
      </rPr>
      <t>1.8.2</t>
    </r>
    <r>
      <rPr>
        <sz val="10"/>
        <rFont val="Arial"/>
        <family val="2"/>
      </rPr>
      <t xml:space="preserve"> 2º Período de 07 dias ou fração, cobrança sobre o maior valor (2% s/ CIF ou R$ 4.680,00 mínimo p/ contêiner)</t>
    </r>
  </si>
  <si>
    <r>
      <rPr>
        <b/>
        <sz val="10"/>
        <rFont val="Arial"/>
        <family val="2"/>
      </rPr>
      <t xml:space="preserve">1.8.3 </t>
    </r>
    <r>
      <rPr>
        <sz val="10"/>
        <rFont val="Arial"/>
        <family val="2"/>
      </rPr>
      <t>3º Período de 07 dias ou fração, cobrança sobre o maior valor (3% s/ CIF ou R$ 5.616,00 mínimo p/ contêiner)</t>
    </r>
  </si>
  <si>
    <r>
      <rPr>
        <b/>
        <sz val="10"/>
        <rFont val="Arial"/>
        <family val="2"/>
      </rPr>
      <t xml:space="preserve">1.8.4 </t>
    </r>
    <r>
      <rPr>
        <sz val="10"/>
        <rFont val="Arial"/>
        <family val="2"/>
      </rPr>
      <t>4º Período de 07 dias ou fração, cobrança sobre o maior valor (4% s/ CIF ou R$ 6.739,00 mínimo p/ contêiner)</t>
    </r>
  </si>
  <si>
    <r>
      <rPr>
        <b/>
        <sz val="10"/>
        <rFont val="Arial"/>
        <family val="2"/>
      </rPr>
      <t>1.3.1</t>
    </r>
    <r>
      <rPr>
        <sz val="10"/>
        <rFont val="Arial"/>
        <family val="2"/>
      </rPr>
      <t xml:space="preserve"> Carretas com cargas soltas de/ou para operador portuário na Margem Direita</t>
    </r>
  </si>
  <si>
    <r>
      <t>1.3.2</t>
    </r>
    <r>
      <rPr>
        <sz val="10"/>
        <rFont val="Arial"/>
        <family val="2"/>
      </rPr>
      <t xml:space="preserve"> Carretas com cargas soltas de/ou para operador portuário na Margem Esquerda</t>
    </r>
  </si>
  <si>
    <r>
      <rPr>
        <b/>
        <sz val="10"/>
        <rFont val="Arial"/>
        <family val="2"/>
      </rPr>
      <t>1.6.1</t>
    </r>
    <r>
      <rPr>
        <sz val="10"/>
        <rFont val="Arial"/>
        <family val="2"/>
      </rPr>
      <t xml:space="preserve"> Recebimento de contêiner LCL (Handling In), por BL</t>
    </r>
  </si>
  <si>
    <r>
      <rPr>
        <b/>
        <sz val="10"/>
        <rFont val="Arial"/>
        <family val="2"/>
      </rPr>
      <t xml:space="preserve">1.2.1 </t>
    </r>
    <r>
      <rPr>
        <sz val="10"/>
        <rFont val="Arial"/>
        <family val="2"/>
      </rPr>
      <t>Contêineres com 02 BL's ou mais, de/ou para operador portuário na Margem Direita - Cobrança sobre o maior valor (R$ 125,00 por ton ou m³ - R$ 625,00 mínimo por BL)</t>
    </r>
  </si>
  <si>
    <r>
      <rPr>
        <b/>
        <sz val="10"/>
        <rFont val="Arial"/>
        <family val="2"/>
      </rPr>
      <t xml:space="preserve">1.2.2 </t>
    </r>
    <r>
      <rPr>
        <sz val="10"/>
        <rFont val="Arial"/>
        <family val="2"/>
      </rPr>
      <t>Contêineres com 02 BL's ou mais, de/ou para operador portuário na Margem Esquerda - Cobrança sobre o maior valor (R$ 188,00 por ton ou m³ - R$ 938,00 mínimo por BL)</t>
    </r>
  </si>
  <si>
    <r>
      <t xml:space="preserve">1.7.2 </t>
    </r>
    <r>
      <rPr>
        <sz val="10"/>
        <rFont val="Arial"/>
        <family val="2"/>
      </rPr>
      <t>Pesagem na entrada e saída do IPA TRANSBRASA - Cobrança sobre o maior valor (R$ 48,00 por ton ou m³ - R$200,00 mínimo por BL)</t>
    </r>
  </si>
  <si>
    <r>
      <rPr>
        <b/>
        <sz val="10"/>
        <rFont val="Arial"/>
        <family val="2"/>
      </rPr>
      <t xml:space="preserve">1.7.1 </t>
    </r>
    <r>
      <rPr>
        <sz val="10"/>
        <rFont val="Arial"/>
        <family val="2"/>
      </rPr>
      <t>Recebimento ou carregamento de carga solta - Cobrança sobre o maior valor (R$ 60,00 por ton ou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m³ - R$ 300,00 mínimo por BL</t>
    </r>
    <r>
      <rPr>
        <i/>
        <sz val="10"/>
        <rFont val="Arial"/>
        <family val="2"/>
      </rPr>
      <t>)</t>
    </r>
  </si>
  <si>
    <r>
      <rPr>
        <b/>
        <sz val="10"/>
        <rFont val="Arial"/>
        <family val="2"/>
      </rPr>
      <t xml:space="preserve">1.9.3 </t>
    </r>
    <r>
      <rPr>
        <sz val="10"/>
        <rFont val="Arial"/>
        <family val="2"/>
      </rPr>
      <t>3º Período de 07 dias ou fração, cobrança sobre o maior valor (4.5% s/ CIF ou R$ 585,00 p/ ton ou m³ - R$ 3.262,00 mínimo por BL)</t>
    </r>
  </si>
  <si>
    <r>
      <rPr>
        <b/>
        <sz val="10"/>
        <rFont val="Arial"/>
        <family val="2"/>
      </rPr>
      <t>1.9.2</t>
    </r>
    <r>
      <rPr>
        <sz val="10"/>
        <rFont val="Arial"/>
        <family val="2"/>
      </rPr>
      <t xml:space="preserve"> 2º Período de 07 dias ou fração, cobrança sobre o maior valor (3% s/ CIF ou R$ 390,00 p/ ton ou m³ - R$ 2,175,00 mínimo por BL)</t>
    </r>
  </si>
  <si>
    <r>
      <rPr>
        <b/>
        <sz val="10"/>
        <rFont val="Arial"/>
        <family val="2"/>
      </rPr>
      <t xml:space="preserve">1.9.4 </t>
    </r>
    <r>
      <rPr>
        <sz val="10"/>
        <rFont val="Arial"/>
        <family val="2"/>
      </rPr>
      <t>4º Período de 07 dias ou fração, cobrança sobre o maior valor (6% s/ CIF ou R$ 877,00 p/ ton ou m³ - R$ 3.262,00 mínimo por BL)</t>
    </r>
  </si>
  <si>
    <r>
      <rPr>
        <b/>
        <sz val="10"/>
        <rFont val="Arial"/>
        <family val="2"/>
      </rPr>
      <t>1.10.11</t>
    </r>
    <r>
      <rPr>
        <sz val="10"/>
        <rFont val="Arial"/>
        <family val="2"/>
      </rPr>
      <t xml:space="preserve"> Escolta obrigatória para transporte de ou para OP obrigatória para mercadorias c/ valores a partir de R$ 2.500.000,00</t>
    </r>
  </si>
  <si>
    <r>
      <rPr>
        <b/>
        <sz val="10"/>
        <rFont val="Arial"/>
        <family val="2"/>
      </rPr>
      <t>2.2.1</t>
    </r>
    <r>
      <rPr>
        <sz val="10"/>
        <rFont val="Arial"/>
        <family val="2"/>
      </rPr>
      <t xml:space="preserve"> Posicionamento de contêiner por LCL, por demanda (fiscalização, desovas e outros) - R$ 200,00 por ton ou m³ ou R$ 600,00 mínimo por BL</t>
    </r>
  </si>
  <si>
    <r>
      <rPr>
        <b/>
        <sz val="10"/>
        <rFont val="Arial"/>
        <family val="2"/>
      </rPr>
      <t xml:space="preserve">2.2.2 </t>
    </r>
    <r>
      <rPr>
        <sz val="10"/>
        <rFont val="Arial"/>
        <family val="2"/>
      </rPr>
      <t>Posicionamento de carga solta (fiscalização e outros) - R$ 60,00 por ton ou m³ ou R$ 700,00 mínimo por BL</t>
    </r>
  </si>
  <si>
    <r>
      <rPr>
        <b/>
        <sz val="10"/>
        <rFont val="Arial"/>
        <family val="2"/>
      </rPr>
      <t>2.2.3</t>
    </r>
    <r>
      <rPr>
        <sz val="10"/>
        <rFont val="Arial"/>
        <family val="2"/>
      </rPr>
      <t xml:space="preserve"> Vistoria / Registro de avarias de lotes - R$ 120,00 por ton ou m³ ou R$ 310,00 mínimo por BL</t>
    </r>
  </si>
  <si>
    <r>
      <rPr>
        <b/>
        <sz val="10"/>
        <rFont val="Arial"/>
        <family val="2"/>
      </rPr>
      <t xml:space="preserve">2.2.5 </t>
    </r>
    <r>
      <rPr>
        <sz val="10"/>
        <rFont val="Arial"/>
        <family val="2"/>
      </rPr>
      <t xml:space="preserve"> Inspeção não invasiva (scanner) de volumes - Volume até 1,5t.</t>
    </r>
  </si>
  <si>
    <r>
      <rPr>
        <b/>
        <sz val="10"/>
        <rFont val="Arial"/>
        <family val="2"/>
      </rPr>
      <t xml:space="preserve">2.2.6 </t>
    </r>
    <r>
      <rPr>
        <sz val="10"/>
        <rFont val="Arial"/>
        <family val="2"/>
      </rPr>
      <t>Desova ou ova mecanizada (Empilhadeira de 2,5 tons), por BL / operação</t>
    </r>
  </si>
  <si>
    <r>
      <rPr>
        <b/>
        <sz val="10"/>
        <rFont val="Arial"/>
        <family val="2"/>
      </rPr>
      <t>2.2.7</t>
    </r>
    <r>
      <rPr>
        <sz val="10"/>
        <rFont val="Arial"/>
        <family val="2"/>
      </rPr>
      <t xml:space="preserve"> Desova ou ova manual (incluso 02 ajudantes), por BL / operação</t>
    </r>
  </si>
  <si>
    <r>
      <rPr>
        <b/>
        <sz val="10"/>
        <rFont val="Arial"/>
        <family val="2"/>
      </rPr>
      <t xml:space="preserve">2.2.8 </t>
    </r>
    <r>
      <rPr>
        <sz val="10"/>
        <rFont val="Arial"/>
        <family val="2"/>
      </rPr>
      <t>Movimentação interna (LCL) - R$ 195,00 por ton ou m³ ou R$ 600,00 mínima por BL</t>
    </r>
  </si>
  <si>
    <r>
      <t xml:space="preserve">2.2.9 </t>
    </r>
    <r>
      <rPr>
        <sz val="10"/>
        <rFont val="Arial"/>
        <family val="2"/>
      </rPr>
      <t>Descumprimento de agendamento / janela de entrega ou retirada (No show), por BL</t>
    </r>
  </si>
  <si>
    <r>
      <rPr>
        <b/>
        <sz val="10"/>
        <rFont val="Arial"/>
        <family val="2"/>
      </rPr>
      <t xml:space="preserve">3.3.1 </t>
    </r>
    <r>
      <rPr>
        <sz val="10"/>
        <rFont val="Arial"/>
        <family val="2"/>
      </rPr>
      <t>Pesagem ou repesagem de volumes - R$ 220,00 por ton ou m³ ou R$ 780,00 mínima por BL</t>
    </r>
  </si>
  <si>
    <r>
      <t>1.1.2</t>
    </r>
    <r>
      <rPr>
        <sz val="10"/>
        <rFont val="Arial"/>
        <family val="2"/>
      </rPr>
      <t xml:space="preserve"> De ou para operador portuário na Margem Esquerda - por contêiner</t>
    </r>
  </si>
  <si>
    <r>
      <rPr>
        <b/>
        <sz val="10"/>
        <rFont val="Arial"/>
        <family val="2"/>
      </rPr>
      <t xml:space="preserve">4.3.4 </t>
    </r>
    <r>
      <rPr>
        <sz val="10"/>
        <rFont val="Arial"/>
        <family val="2"/>
      </rPr>
      <t>Plastificação/stretch filme, por pallet</t>
    </r>
  </si>
  <si>
    <r>
      <rPr>
        <b/>
        <sz val="10"/>
        <rFont val="Arial"/>
        <family val="2"/>
      </rPr>
      <t xml:space="preserve">1.10.4 </t>
    </r>
    <r>
      <rPr>
        <sz val="10"/>
        <rFont val="Arial"/>
        <family val="2"/>
      </rPr>
      <t>Handling in/out, itens 1.5.1 e 1.5.4 para contêineres tipo Flat rack ou Open top c/ excessos</t>
    </r>
  </si>
  <si>
    <r>
      <rPr>
        <b/>
        <sz val="10"/>
        <rFont val="Arial"/>
        <family val="2"/>
      </rPr>
      <t xml:space="preserve">1.10.3 </t>
    </r>
    <r>
      <rPr>
        <sz val="10"/>
        <rFont val="Arial"/>
        <family val="2"/>
      </rPr>
      <t>Adicional sobre a  armazenagem para contêineres tipo Flat rack e/ou Open top c/ excessos</t>
    </r>
  </si>
  <si>
    <r>
      <rPr>
        <b/>
        <sz val="10"/>
        <rFont val="Arial"/>
        <family val="2"/>
      </rPr>
      <t xml:space="preserve">3.1.1 </t>
    </r>
    <r>
      <rPr>
        <sz val="10"/>
        <rFont val="Arial"/>
        <family val="2"/>
      </rPr>
      <t>Devolução ou retirada de contêiner vazio de/ou para terminais Santos</t>
    </r>
  </si>
  <si>
    <r>
      <rPr>
        <b/>
        <sz val="10"/>
        <rFont val="Arial"/>
        <family val="2"/>
      </rPr>
      <t xml:space="preserve">3.1.4 </t>
    </r>
    <r>
      <rPr>
        <sz val="10"/>
        <rFont val="Arial"/>
        <family val="2"/>
      </rPr>
      <t>Devolução ou retirada de contêiner vazio de/ou para terminais Praia Grande</t>
    </r>
  </si>
  <si>
    <r>
      <rPr>
        <b/>
        <sz val="10"/>
        <rFont val="Arial"/>
        <family val="2"/>
      </rPr>
      <t xml:space="preserve">3.1.3 </t>
    </r>
    <r>
      <rPr>
        <sz val="10"/>
        <rFont val="Arial"/>
        <family val="2"/>
      </rPr>
      <t>Devolução ou retirada de contêiner vazio de/ou para terminais Cubatão</t>
    </r>
  </si>
  <si>
    <r>
      <rPr>
        <b/>
        <sz val="10"/>
        <rFont val="Arial"/>
        <family val="2"/>
      </rPr>
      <t xml:space="preserve">3.1.2 </t>
    </r>
    <r>
      <rPr>
        <sz val="10"/>
        <rFont val="Arial"/>
        <family val="2"/>
      </rPr>
      <t>Devolução ou retirada de contêiner vazio de/ou para terminais São Vicente</t>
    </r>
  </si>
  <si>
    <r>
      <rPr>
        <b/>
        <sz val="10"/>
        <rFont val="Arial"/>
        <family val="2"/>
      </rPr>
      <t xml:space="preserve">3.1.5 </t>
    </r>
    <r>
      <rPr>
        <sz val="10"/>
        <rFont val="Arial"/>
        <family val="2"/>
      </rPr>
      <t>Devolução ou retirada de contêiner vazio de/ou para terminais Guarujá ou Ilha Barnabé</t>
    </r>
  </si>
  <si>
    <t>DRY / HIGH CUBE / ISOTANK / FLAT RACK sem excesso / INSULADO - REEFER desligado</t>
  </si>
  <si>
    <t>Peso total da mercadoria (ton.)</t>
  </si>
  <si>
    <t>Volume total da mercadoria (m³)</t>
  </si>
  <si>
    <r>
      <rPr>
        <b/>
        <sz val="10"/>
        <rFont val="Arial"/>
        <family val="2"/>
      </rPr>
      <t xml:space="preserve">1.9.1 </t>
    </r>
    <r>
      <rPr>
        <sz val="10"/>
        <rFont val="Arial"/>
        <family val="2"/>
      </rPr>
      <t>1º Período de 07 dias ou fração, cobrança sobre o maior valor (1.5% s/ CIF ou R$ 260,00 p/ ton ou m</t>
    </r>
    <r>
      <rPr>
        <i/>
        <sz val="10"/>
        <rFont val="Arial"/>
        <family val="2"/>
      </rPr>
      <t>³ -</t>
    </r>
    <r>
      <rPr>
        <sz val="10"/>
        <rFont val="Arial"/>
        <family val="2"/>
      </rPr>
      <t xml:space="preserve"> R$ 1.450,00 mínimo por BL)</t>
    </r>
  </si>
  <si>
    <t>Carga</t>
  </si>
  <si>
    <t>SOLTA</t>
  </si>
  <si>
    <t>DESUNITIZADA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</si>
</sst>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\ &quot;dias&quot;"/>
    <numFmt numFmtId="167" formatCode="0.000%"/>
    <numFmt numFmtId="168" formatCode="_([$R$ -416]* #,##0.00_);_([$R$ -416]* \(#,##0.00\);_([$R$ -416]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64" fontId="7" fillId="0" borderId="0" xfId="2" applyFont="1" applyFill="1" applyBorder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16" fontId="3" fillId="0" borderId="0" xfId="0" applyNumberFormat="1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6" fontId="6" fillId="0" borderId="0" xfId="2" applyNumberFormat="1" applyFont="1" applyBorder="1" applyAlignment="1" applyProtection="1">
      <alignment horizontal="center" vertical="center"/>
      <protection hidden="1"/>
    </xf>
    <xf numFmtId="167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1" fillId="0" borderId="5" xfId="0" applyFont="1" applyBorder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8" fillId="0" borderId="0" xfId="0" applyFont="1" applyProtection="1"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4" fillId="3" borderId="6" xfId="0" applyFont="1" applyFill="1" applyBorder="1" applyProtection="1">
      <protection hidden="1"/>
    </xf>
    <xf numFmtId="0" fontId="4" fillId="3" borderId="7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1" fillId="0" borderId="0" xfId="0" applyFont="1" applyAlignment="1" applyProtection="1">
      <alignment horizontal="right" vertical="center" indent="1"/>
      <protection hidden="1"/>
    </xf>
    <xf numFmtId="164" fontId="7" fillId="0" borderId="0" xfId="2" applyFont="1" applyFill="1" applyBorder="1" applyAlignment="1" applyProtection="1">
      <alignment horizontal="center" vertical="center"/>
      <protection hidden="1"/>
    </xf>
    <xf numFmtId="164" fontId="7" fillId="0" borderId="0" xfId="2" applyFont="1" applyBorder="1" applyAlignment="1" applyProtection="1">
      <alignment horizontal="center" vertical="center"/>
      <protection hidden="1"/>
    </xf>
    <xf numFmtId="164" fontId="1" fillId="3" borderId="0" xfId="2" applyFont="1" applyFill="1" applyBorder="1" applyAlignment="1" applyProtection="1">
      <alignment vertical="center"/>
      <protection hidden="1"/>
    </xf>
    <xf numFmtId="0" fontId="12" fillId="0" borderId="5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13" xfId="0" applyFont="1" applyBorder="1" applyProtection="1">
      <protection hidden="1"/>
    </xf>
    <xf numFmtId="14" fontId="4" fillId="0" borderId="4" xfId="0" applyNumberFormat="1" applyFont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4" fillId="5" borderId="0" xfId="0" applyFont="1" applyFill="1" applyProtection="1">
      <protection hidden="1"/>
    </xf>
    <xf numFmtId="0" fontId="14" fillId="0" borderId="5" xfId="0" applyFont="1" applyBorder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5" xfId="0" applyFont="1" applyBorder="1" applyProtection="1">
      <protection hidden="1"/>
    </xf>
    <xf numFmtId="49" fontId="7" fillId="0" borderId="0" xfId="2" applyNumberFormat="1" applyFont="1" applyFill="1" applyBorder="1" applyAlignment="1" applyProtection="1">
      <alignment horizontal="right" vertical="center"/>
      <protection hidden="1"/>
    </xf>
    <xf numFmtId="43" fontId="1" fillId="3" borderId="18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horizontal="right" indent="1"/>
      <protection hidden="1"/>
    </xf>
    <xf numFmtId="164" fontId="1" fillId="3" borderId="18" xfId="2" applyFont="1" applyFill="1" applyBorder="1" applyAlignment="1" applyProtection="1">
      <alignment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right" vertical="center" wrapText="1" indent="1"/>
      <protection hidden="1"/>
    </xf>
    <xf numFmtId="0" fontId="1" fillId="0" borderId="0" xfId="0" applyFont="1" applyAlignment="1" applyProtection="1">
      <alignment horizontal="right" vertical="center" wrapText="1" indent="1"/>
      <protection hidden="1"/>
    </xf>
    <xf numFmtId="164" fontId="1" fillId="3" borderId="0" xfId="2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0" fontId="18" fillId="0" borderId="5" xfId="0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0" fontId="18" fillId="5" borderId="5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1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21" fillId="5" borderId="0" xfId="0" applyFont="1" applyFill="1" applyAlignment="1" applyProtection="1">
      <alignment vertical="top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2" applyFont="1" applyBorder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20" fillId="5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3" fillId="5" borderId="0" xfId="0" applyFont="1" applyFill="1" applyProtection="1">
      <protection hidden="1"/>
    </xf>
    <xf numFmtId="0" fontId="20" fillId="5" borderId="0" xfId="0" applyFont="1" applyFill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left"/>
      <protection hidden="1"/>
    </xf>
    <xf numFmtId="164" fontId="22" fillId="0" borderId="0" xfId="2" applyFont="1" applyFill="1" applyBorder="1" applyAlignment="1" applyProtection="1">
      <alignment horizontal="center" vertical="center"/>
      <protection hidden="1"/>
    </xf>
    <xf numFmtId="164" fontId="22" fillId="0" borderId="0" xfId="2" applyFont="1" applyFill="1" applyBorder="1" applyProtection="1"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5" borderId="0" xfId="0" applyFont="1" applyFill="1" applyProtection="1">
      <protection hidden="1"/>
    </xf>
    <xf numFmtId="164" fontId="19" fillId="0" borderId="0" xfId="2" applyFont="1" applyBorder="1" applyProtection="1">
      <protection hidden="1"/>
    </xf>
    <xf numFmtId="164" fontId="19" fillId="0" borderId="0" xfId="2" applyFont="1" applyFill="1" applyBorder="1" applyAlignment="1" applyProtection="1">
      <alignment horizontal="center" vertical="center"/>
      <protection hidden="1"/>
    </xf>
    <xf numFmtId="164" fontId="19" fillId="0" borderId="0" xfId="2" applyFont="1" applyFill="1" applyBorder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  <xf numFmtId="0" fontId="21" fillId="0" borderId="0" xfId="2" applyNumberFormat="1" applyFont="1" applyBorder="1" applyAlignment="1" applyProtection="1">
      <alignment horizontal="center" vertical="center"/>
      <protection locked="0" hidden="1"/>
    </xf>
    <xf numFmtId="164" fontId="19" fillId="0" borderId="0" xfId="2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168" fontId="9" fillId="6" borderId="9" xfId="1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 wrapText="1" indent="1"/>
      <protection hidden="1"/>
    </xf>
    <xf numFmtId="0" fontId="1" fillId="0" borderId="14" xfId="0" applyFont="1" applyBorder="1" applyAlignment="1" applyProtection="1">
      <alignment horizontal="right" vertical="center" wrapText="1" indent="1"/>
      <protection hidden="1"/>
    </xf>
    <xf numFmtId="0" fontId="8" fillId="6" borderId="15" xfId="0" applyFont="1" applyFill="1" applyBorder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164" fontId="7" fillId="0" borderId="17" xfId="2" applyFont="1" applyFill="1" applyBorder="1" applyAlignment="1" applyProtection="1">
      <alignment horizontal="center" vertical="center"/>
      <protection hidden="1"/>
    </xf>
    <xf numFmtId="164" fontId="1" fillId="3" borderId="0" xfId="2" applyFont="1" applyFill="1" applyBorder="1" applyAlignment="1" applyProtection="1">
      <alignment horizontal="center" vertical="center"/>
      <protection hidden="1"/>
    </xf>
    <xf numFmtId="164" fontId="7" fillId="0" borderId="0" xfId="2" applyFont="1" applyFill="1" applyBorder="1" applyAlignment="1" applyProtection="1">
      <alignment horizontal="left" vertical="top" wrapText="1"/>
      <protection hidden="1"/>
    </xf>
    <xf numFmtId="168" fontId="2" fillId="3" borderId="9" xfId="2" applyNumberFormat="1" applyFont="1" applyFill="1" applyBorder="1" applyAlignment="1" applyProtection="1">
      <alignment horizontal="center" vertical="center"/>
      <protection locked="0"/>
    </xf>
    <xf numFmtId="165" fontId="2" fillId="4" borderId="9" xfId="0" applyNumberFormat="1" applyFont="1" applyFill="1" applyBorder="1" applyAlignment="1" applyProtection="1">
      <alignment horizontal="center" vertical="center"/>
      <protection locked="0"/>
    </xf>
    <xf numFmtId="166" fontId="8" fillId="3" borderId="9" xfId="0" applyNumberFormat="1" applyFont="1" applyFill="1" applyBorder="1" applyAlignment="1" applyProtection="1">
      <alignment horizontal="center" vertical="center"/>
      <protection hidden="1"/>
    </xf>
    <xf numFmtId="164" fontId="1" fillId="3" borderId="18" xfId="2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 wrapText="1" indent="1"/>
      <protection hidden="1"/>
    </xf>
    <xf numFmtId="0" fontId="7" fillId="0" borderId="14" xfId="0" applyFont="1" applyBorder="1" applyAlignment="1" applyProtection="1">
      <alignment horizontal="right" vertical="center" wrapText="1" inden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164" fontId="7" fillId="0" borderId="17" xfId="2" applyFont="1" applyFill="1" applyBorder="1" applyAlignment="1" applyProtection="1">
      <alignment horizontal="center" vertical="center" wrapText="1"/>
      <protection hidden="1"/>
    </xf>
    <xf numFmtId="168" fontId="2" fillId="3" borderId="6" xfId="2" applyNumberFormat="1" applyFont="1" applyFill="1" applyBorder="1" applyAlignment="1" applyProtection="1">
      <alignment horizontal="center" vertical="center"/>
      <protection locked="0"/>
    </xf>
    <xf numFmtId="168" fontId="2" fillId="3" borderId="8" xfId="2" applyNumberFormat="1" applyFont="1" applyFill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horizontal="left" vertical="center" indent="1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2">
    <dxf>
      <font>
        <strike val="0"/>
        <color auto="1"/>
      </font>
      <fill>
        <patternFill patternType="solid"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22" fmlaLink="$L$10" fmlaRange="$N$10:$N$12" sel="1" val="0"/>
</file>

<file path=xl/ctrlProps/ctrlProp2.xml><?xml version="1.0" encoding="utf-8"?>
<formControlPr xmlns="http://schemas.microsoft.com/office/spreadsheetml/2009/9/main" objectType="Drop" dropLines="5" dropStyle="combo" dx="22" fmlaLink="$L$12" fmlaRange="$N$13:$N$14" sel="1" val="0"/>
</file>

<file path=xl/ctrlProps/ctrlProp3.xml><?xml version="1.0" encoding="utf-8"?>
<formControlPr xmlns="http://schemas.microsoft.com/office/spreadsheetml/2009/9/main" objectType="Drop" dropLines="5" dropStyle="combo" dx="22" fmlaLink="$L$10" fmlaRange="$N$10:$N$12" sel="1" val="0"/>
</file>

<file path=xl/ctrlProps/ctrlProp4.xml><?xml version="1.0" encoding="utf-8"?>
<formControlPr xmlns="http://schemas.microsoft.com/office/spreadsheetml/2009/9/main" objectType="Drop" dropLines="5" dropStyle="combo" dx="22" fmlaLink="$L$12" fmlaRange="$N$13:$N$14" sel="1" val="0"/>
</file>

<file path=xl/ctrlProps/ctrlProp5.xml><?xml version="1.0" encoding="utf-8"?>
<formControlPr xmlns="http://schemas.microsoft.com/office/spreadsheetml/2009/9/main" objectType="Drop" dropLines="5" dropStyle="combo" dx="22" fmlaLink="$L$15" fmlaRange="$N$15:$N$1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115</xdr:row>
      <xdr:rowOff>133350</xdr:rowOff>
    </xdr:from>
    <xdr:to>
      <xdr:col>10</xdr:col>
      <xdr:colOff>479625</xdr:colOff>
      <xdr:row>115</xdr:row>
      <xdr:rowOff>133350</xdr:rowOff>
    </xdr:to>
    <xdr:sp macro="" textlink="">
      <xdr:nvSpPr>
        <xdr:cNvPr id="11274" name="Line 4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>
          <a:spLocks noChangeShapeType="1"/>
        </xdr:cNvSpPr>
      </xdr:nvSpPr>
      <xdr:spPr bwMode="auto">
        <a:xfrm>
          <a:off x="6781800" y="25003125"/>
          <a:ext cx="43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57150</xdr:rowOff>
        </xdr:from>
        <xdr:to>
          <xdr:col>9</xdr:col>
          <xdr:colOff>1428750</xdr:colOff>
          <xdr:row>9</xdr:row>
          <xdr:rowOff>333375</xdr:rowOff>
        </xdr:to>
        <xdr:sp macro="" textlink="">
          <xdr:nvSpPr>
            <xdr:cNvPr id="11271" name="Drop Dow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475889</xdr:colOff>
      <xdr:row>1</xdr:row>
      <xdr:rowOff>76200</xdr:rowOff>
    </xdr:from>
    <xdr:to>
      <xdr:col>9</xdr:col>
      <xdr:colOff>468713</xdr:colOff>
      <xdr:row>6</xdr:row>
      <xdr:rowOff>196850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764" y="247650"/>
          <a:ext cx="1285049" cy="1143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57150</xdr:rowOff>
        </xdr:from>
        <xdr:to>
          <xdr:col>9</xdr:col>
          <xdr:colOff>1438275</xdr:colOff>
          <xdr:row>11</xdr:row>
          <xdr:rowOff>333375</xdr:rowOff>
        </xdr:to>
        <xdr:sp macro="" textlink="">
          <xdr:nvSpPr>
            <xdr:cNvPr id="11272" name="Drop Dow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96</xdr:row>
      <xdr:rowOff>133350</xdr:rowOff>
    </xdr:from>
    <xdr:to>
      <xdr:col>10</xdr:col>
      <xdr:colOff>470100</xdr:colOff>
      <xdr:row>96</xdr:row>
      <xdr:rowOff>133350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686550" y="20221575"/>
          <a:ext cx="43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57150</xdr:rowOff>
        </xdr:from>
        <xdr:to>
          <xdr:col>9</xdr:col>
          <xdr:colOff>1428750</xdr:colOff>
          <xdr:row>9</xdr:row>
          <xdr:rowOff>333375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494940</xdr:colOff>
      <xdr:row>1</xdr:row>
      <xdr:rowOff>66675</xdr:rowOff>
    </xdr:from>
    <xdr:to>
      <xdr:col>9</xdr:col>
      <xdr:colOff>484588</xdr:colOff>
      <xdr:row>6</xdr:row>
      <xdr:rowOff>190499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290" y="238125"/>
          <a:ext cx="1285048" cy="1142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57150</xdr:rowOff>
        </xdr:from>
        <xdr:to>
          <xdr:col>9</xdr:col>
          <xdr:colOff>1428750</xdr:colOff>
          <xdr:row>11</xdr:row>
          <xdr:rowOff>333375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57150</xdr:rowOff>
        </xdr:from>
        <xdr:to>
          <xdr:col>9</xdr:col>
          <xdr:colOff>1428750</xdr:colOff>
          <xdr:row>13</xdr:row>
          <xdr:rowOff>333375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B1:Q117"/>
  <sheetViews>
    <sheetView showGridLines="0" tabSelected="1" zoomScaleNormal="100" workbookViewId="0">
      <selection activeCell="P19" sqref="P19"/>
    </sheetView>
  </sheetViews>
  <sheetFormatPr defaultColWidth="9.140625" defaultRowHeight="12.75" x14ac:dyDescent="0.2"/>
  <cols>
    <col min="1" max="1" width="2.7109375" style="2" customWidth="1"/>
    <col min="2" max="2" width="10.7109375" style="2" customWidth="1"/>
    <col min="3" max="3" width="10.85546875" style="2" customWidth="1"/>
    <col min="4" max="4" width="14.28515625" style="2" customWidth="1"/>
    <col min="5" max="5" width="12.140625" style="2" customWidth="1"/>
    <col min="6" max="6" width="8.5703125" style="2" customWidth="1"/>
    <col min="7" max="7" width="14.85546875" style="1" customWidth="1"/>
    <col min="8" max="8" width="3.5703125" style="1" bestFit="1" customWidth="1"/>
    <col min="9" max="9" width="1" style="1" customWidth="1"/>
    <col min="10" max="10" width="22.28515625" style="1" customWidth="1"/>
    <col min="11" max="11" width="8" style="1" customWidth="1"/>
    <col min="12" max="12" width="11.140625" style="1" customWidth="1"/>
    <col min="13" max="13" width="0.85546875" style="1" customWidth="1"/>
    <col min="14" max="14" width="24.5703125" style="1" customWidth="1"/>
    <col min="15" max="15" width="3.7109375" style="2" customWidth="1"/>
    <col min="16" max="17" width="9.140625" style="2"/>
    <col min="18" max="18" width="13.28515625" style="2" bestFit="1" customWidth="1"/>
    <col min="19" max="19" width="14.5703125" style="2" bestFit="1" customWidth="1"/>
    <col min="20" max="16384" width="9.140625" style="2"/>
  </cols>
  <sheetData>
    <row r="1" spans="2:17" ht="13.5" thickBot="1" x14ac:dyDescent="0.25"/>
    <row r="2" spans="2:17" ht="20.2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5"/>
    </row>
    <row r="3" spans="2:17" ht="15" customHeight="1" x14ac:dyDescent="0.2">
      <c r="B3" s="5"/>
      <c r="C3" s="1"/>
      <c r="D3" s="1"/>
      <c r="E3" s="1"/>
      <c r="F3" s="1"/>
      <c r="O3" s="19"/>
    </row>
    <row r="4" spans="2:17" ht="15" customHeight="1" x14ac:dyDescent="0.2">
      <c r="B4" s="5"/>
      <c r="C4" s="1"/>
      <c r="D4" s="1"/>
      <c r="E4" s="1"/>
      <c r="F4" s="1"/>
      <c r="O4" s="19"/>
    </row>
    <row r="5" spans="2:17" ht="15" customHeight="1" x14ac:dyDescent="0.2">
      <c r="B5" s="37"/>
      <c r="C5" s="49"/>
      <c r="D5" s="49"/>
      <c r="E5" s="49"/>
      <c r="F5" s="49"/>
      <c r="O5" s="19"/>
    </row>
    <row r="6" spans="2:17" ht="15" customHeight="1" x14ac:dyDescent="0.2">
      <c r="B6" s="5"/>
      <c r="C6" s="1"/>
      <c r="D6" s="1"/>
      <c r="E6" s="1"/>
      <c r="F6" s="1"/>
      <c r="O6" s="19"/>
    </row>
    <row r="7" spans="2:17" ht="20.25" customHeight="1" x14ac:dyDescent="0.2">
      <c r="B7" s="5"/>
      <c r="C7" s="1"/>
      <c r="D7" s="1"/>
      <c r="E7" s="1"/>
      <c r="F7" s="1"/>
      <c r="O7" s="34"/>
    </row>
    <row r="8" spans="2:17" ht="29.25" customHeight="1" x14ac:dyDescent="0.2">
      <c r="B8" s="96" t="s">
        <v>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</row>
    <row r="9" spans="2:17" ht="18" customHeight="1" x14ac:dyDescent="0.2">
      <c r="B9" s="7"/>
      <c r="C9" s="8"/>
      <c r="D9" s="8"/>
      <c r="E9" s="8"/>
      <c r="F9" s="8"/>
      <c r="L9" s="67"/>
      <c r="M9" s="67"/>
      <c r="N9" s="67"/>
      <c r="O9" s="55"/>
    </row>
    <row r="10" spans="2:17" s="6" customFormat="1" ht="30.75" customHeight="1" x14ac:dyDescent="0.25">
      <c r="B10" s="7"/>
      <c r="C10" s="8"/>
      <c r="D10" s="8"/>
      <c r="E10" s="8"/>
      <c r="F10" s="57" t="s">
        <v>6</v>
      </c>
      <c r="G10" s="27"/>
      <c r="H10" s="28"/>
      <c r="I10" s="28"/>
      <c r="J10" s="29"/>
      <c r="L10" s="94">
        <v>1</v>
      </c>
      <c r="M10" s="26"/>
      <c r="N10" s="68" t="s">
        <v>82</v>
      </c>
      <c r="O10" s="55"/>
      <c r="P10" s="26"/>
      <c r="Q10" s="26"/>
    </row>
    <row r="11" spans="2:17" s="6" customFormat="1" ht="18" customHeight="1" x14ac:dyDescent="0.25">
      <c r="B11" s="38"/>
      <c r="C11" s="50"/>
      <c r="D11" s="50"/>
      <c r="E11" s="50"/>
      <c r="F11" s="50"/>
      <c r="G11" s="39"/>
      <c r="H11" s="39"/>
      <c r="I11" s="39"/>
      <c r="J11" s="40"/>
      <c r="K11" s="40"/>
      <c r="L11" s="84"/>
      <c r="M11" s="26"/>
      <c r="N11" s="74" t="s">
        <v>7</v>
      </c>
      <c r="O11" s="58"/>
      <c r="P11" s="26"/>
      <c r="Q11" s="26"/>
    </row>
    <row r="12" spans="2:17" s="6" customFormat="1" ht="30.75" customHeight="1" x14ac:dyDescent="0.25">
      <c r="B12" s="38"/>
      <c r="C12" s="50"/>
      <c r="D12" s="50"/>
      <c r="E12" s="50"/>
      <c r="F12" s="57" t="s">
        <v>88</v>
      </c>
      <c r="G12" s="27"/>
      <c r="H12" s="28"/>
      <c r="I12" s="28"/>
      <c r="J12" s="29"/>
      <c r="L12" s="91">
        <v>1</v>
      </c>
      <c r="M12" s="26"/>
      <c r="N12" s="69" t="s">
        <v>103</v>
      </c>
      <c r="O12" s="41"/>
      <c r="P12" s="26"/>
      <c r="Q12" s="26"/>
    </row>
    <row r="13" spans="2:17" s="6" customFormat="1" ht="30.75" customHeight="1" x14ac:dyDescent="0.25">
      <c r="B13" s="38"/>
      <c r="C13" s="50"/>
      <c r="D13" s="50"/>
      <c r="E13" s="50"/>
      <c r="F13" s="50"/>
      <c r="G13" s="39"/>
      <c r="H13" s="39"/>
      <c r="I13" s="39"/>
      <c r="J13" s="40"/>
      <c r="K13" s="40"/>
      <c r="L13" s="73"/>
      <c r="M13" s="26"/>
      <c r="N13" s="70" t="s">
        <v>86</v>
      </c>
      <c r="O13" s="41"/>
      <c r="P13" s="26"/>
      <c r="Q13" s="26"/>
    </row>
    <row r="14" spans="2:17" ht="13.5" customHeight="1" x14ac:dyDescent="0.2">
      <c r="B14" s="7"/>
      <c r="C14" s="8"/>
      <c r="D14" s="8"/>
      <c r="E14" s="8"/>
      <c r="F14" s="8"/>
      <c r="I14" s="8"/>
      <c r="J14" s="47" t="s">
        <v>10</v>
      </c>
      <c r="K14" s="9" t="s">
        <v>2</v>
      </c>
      <c r="L14" s="71"/>
      <c r="M14" s="71"/>
      <c r="N14" s="70" t="s">
        <v>87</v>
      </c>
      <c r="O14" s="41"/>
    </row>
    <row r="15" spans="2:17" ht="19.5" customHeight="1" x14ac:dyDescent="0.2">
      <c r="B15" s="7"/>
      <c r="C15" s="8"/>
      <c r="D15" s="8"/>
      <c r="E15" s="8"/>
      <c r="F15" s="8"/>
      <c r="I15" s="30"/>
      <c r="J15" s="30" t="s">
        <v>138</v>
      </c>
      <c r="K15" s="66"/>
      <c r="L15" s="93"/>
      <c r="M15" s="87"/>
      <c r="N15" s="56"/>
      <c r="O15" s="41"/>
    </row>
    <row r="16" spans="2:17" ht="19.5" customHeight="1" x14ac:dyDescent="0.2">
      <c r="B16" s="7"/>
      <c r="C16" s="8"/>
      <c r="D16" s="8"/>
      <c r="E16" s="8"/>
      <c r="F16" s="8"/>
      <c r="I16" s="30"/>
      <c r="J16" s="30" t="s">
        <v>101</v>
      </c>
      <c r="K16" s="66"/>
      <c r="L16" s="88"/>
      <c r="M16" s="89"/>
      <c r="N16" s="56"/>
      <c r="O16" s="41"/>
    </row>
    <row r="17" spans="2:15" ht="19.5" customHeight="1" x14ac:dyDescent="0.2">
      <c r="B17" s="7"/>
      <c r="C17" s="8"/>
      <c r="D17" s="8"/>
      <c r="E17" s="8"/>
      <c r="F17" s="8"/>
      <c r="I17" s="30"/>
      <c r="J17" s="30" t="s">
        <v>102</v>
      </c>
      <c r="K17" s="66"/>
      <c r="L17" s="31"/>
      <c r="M17" s="11"/>
      <c r="O17" s="41"/>
    </row>
    <row r="18" spans="2:15" ht="15.75" customHeight="1" x14ac:dyDescent="0.2">
      <c r="B18" s="7"/>
      <c r="C18" s="8"/>
      <c r="D18" s="8"/>
      <c r="E18" s="8"/>
      <c r="F18" s="8"/>
      <c r="J18" s="8"/>
      <c r="K18" s="9"/>
      <c r="L18" s="9"/>
      <c r="M18" s="9"/>
      <c r="N18" s="56"/>
      <c r="O18" s="43"/>
    </row>
    <row r="19" spans="2:15" ht="19.5" customHeight="1" x14ac:dyDescent="0.2">
      <c r="B19" s="7"/>
      <c r="C19" s="8"/>
      <c r="D19" s="8"/>
      <c r="E19" s="8"/>
      <c r="F19" s="8"/>
      <c r="J19" s="62" t="s">
        <v>89</v>
      </c>
      <c r="K19" s="65"/>
      <c r="L19" s="105" t="str">
        <f>IF(K19&gt;SUM(K15:K17), "Qtde. de contêineres deve ser menor ou igual ao total!", "")</f>
        <v/>
      </c>
      <c r="M19" s="105"/>
      <c r="N19" s="105"/>
      <c r="O19" s="43"/>
    </row>
    <row r="20" spans="2:15" ht="14.1" customHeight="1" x14ac:dyDescent="0.2">
      <c r="B20" s="7"/>
      <c r="C20" s="8"/>
      <c r="D20" s="8"/>
      <c r="E20" s="8"/>
      <c r="F20" s="8"/>
      <c r="J20" s="8"/>
      <c r="L20" s="105"/>
      <c r="M20" s="105"/>
      <c r="N20" s="105"/>
      <c r="O20" s="43"/>
    </row>
    <row r="21" spans="2:15" ht="19.5" customHeight="1" x14ac:dyDescent="0.2">
      <c r="B21" s="7"/>
      <c r="C21" s="8"/>
      <c r="D21" s="8"/>
      <c r="E21" s="8"/>
      <c r="F21" s="8"/>
      <c r="G21" s="2"/>
      <c r="H21" s="25" t="s">
        <v>8</v>
      </c>
      <c r="I21" s="2"/>
      <c r="J21" s="106"/>
      <c r="K21" s="106"/>
      <c r="L21" s="56"/>
      <c r="M21" s="56"/>
      <c r="N21" s="59"/>
      <c r="O21" s="41"/>
    </row>
    <row r="22" spans="2:15" ht="14.1" customHeight="1" x14ac:dyDescent="0.2">
      <c r="B22" s="7"/>
      <c r="C22" s="8"/>
      <c r="D22" s="8"/>
      <c r="E22" s="8"/>
      <c r="F22" s="8"/>
      <c r="K22" s="9"/>
      <c r="N22" s="59"/>
      <c r="O22" s="41"/>
    </row>
    <row r="23" spans="2:15" ht="19.5" customHeight="1" x14ac:dyDescent="0.2">
      <c r="B23" s="7"/>
      <c r="C23" s="8"/>
      <c r="D23" s="8"/>
      <c r="E23" s="8"/>
      <c r="F23" s="8"/>
      <c r="G23" s="2"/>
      <c r="H23" s="25" t="s">
        <v>4</v>
      </c>
      <c r="I23" s="2"/>
      <c r="J23" s="107"/>
      <c r="K23" s="107"/>
      <c r="N23" s="59"/>
      <c r="O23" s="41"/>
    </row>
    <row r="24" spans="2:15" ht="19.5" customHeight="1" x14ac:dyDescent="0.2">
      <c r="B24" s="7"/>
      <c r="C24" s="8"/>
      <c r="D24" s="8"/>
      <c r="E24" s="8"/>
      <c r="F24" s="8"/>
      <c r="G24" s="2"/>
      <c r="H24" s="25" t="s">
        <v>3</v>
      </c>
      <c r="I24" s="2"/>
      <c r="J24" s="107"/>
      <c r="K24" s="107"/>
      <c r="N24" s="59"/>
      <c r="O24" s="41"/>
    </row>
    <row r="25" spans="2:15" ht="14.1" customHeight="1" x14ac:dyDescent="0.2">
      <c r="B25" s="7"/>
      <c r="C25" s="8"/>
      <c r="D25" s="8"/>
      <c r="E25" s="8"/>
      <c r="F25" s="8"/>
      <c r="J25" s="13"/>
      <c r="K25" s="9"/>
      <c r="N25" s="59"/>
      <c r="O25" s="41"/>
    </row>
    <row r="26" spans="2:15" ht="19.5" customHeight="1" x14ac:dyDescent="0.2">
      <c r="B26" s="7"/>
      <c r="C26" s="8"/>
      <c r="D26" s="8"/>
      <c r="E26" s="8"/>
      <c r="F26" s="8"/>
      <c r="G26" s="2"/>
      <c r="H26" s="62" t="s">
        <v>1</v>
      </c>
      <c r="I26" s="2"/>
      <c r="J26" s="108">
        <f>IF(OR(J24="", J23="", J23&gt;J24),0,J24-J23+1)</f>
        <v>0</v>
      </c>
      <c r="K26" s="108"/>
      <c r="N26" s="59"/>
      <c r="O26" s="41"/>
    </row>
    <row r="27" spans="2:15" ht="12.75" customHeight="1" x14ac:dyDescent="0.2">
      <c r="B27" s="7"/>
      <c r="C27" s="8"/>
      <c r="D27" s="8"/>
      <c r="E27" s="8"/>
      <c r="F27" s="8"/>
      <c r="J27" s="25"/>
      <c r="K27" s="9"/>
      <c r="N27" s="59"/>
      <c r="O27" s="41"/>
    </row>
    <row r="28" spans="2:15" x14ac:dyDescent="0.2">
      <c r="B28" s="7"/>
      <c r="C28" s="8"/>
      <c r="D28" s="8"/>
      <c r="E28" s="8"/>
      <c r="F28" s="8"/>
      <c r="J28" s="8"/>
      <c r="K28" s="9" t="s">
        <v>2</v>
      </c>
      <c r="L28" s="9" t="s">
        <v>0</v>
      </c>
      <c r="M28" s="9"/>
      <c r="N28" s="9" t="s">
        <v>1</v>
      </c>
      <c r="O28" s="41"/>
    </row>
    <row r="29" spans="2:15" ht="16.5" customHeight="1" x14ac:dyDescent="0.2">
      <c r="B29" s="7"/>
      <c r="C29" s="8"/>
      <c r="D29" s="8"/>
      <c r="E29" s="8"/>
      <c r="F29" s="8"/>
      <c r="G29" s="10"/>
      <c r="H29" s="10"/>
      <c r="I29" s="10"/>
      <c r="J29" s="30" t="s">
        <v>85</v>
      </c>
      <c r="K29" s="82" t="str">
        <f>IF(L12=2, IF(SUM(K15:K17)&gt;0, SUM(K15:K17), ""), "")</f>
        <v/>
      </c>
      <c r="L29" s="31">
        <v>1250</v>
      </c>
      <c r="M29" s="32"/>
      <c r="N29" s="33">
        <f>IF(K29&lt;&gt;"", K29*L29, )</f>
        <v>0</v>
      </c>
      <c r="O29" s="43"/>
    </row>
    <row r="30" spans="2:15" ht="16.5" customHeight="1" x14ac:dyDescent="0.2">
      <c r="B30" s="7"/>
      <c r="C30" s="8"/>
      <c r="D30" s="8"/>
      <c r="E30" s="8"/>
      <c r="F30" s="8"/>
      <c r="G30" s="10"/>
      <c r="H30" s="10"/>
      <c r="I30" s="10"/>
      <c r="J30" s="46" t="s">
        <v>129</v>
      </c>
      <c r="K30" s="82" t="str">
        <f>IF(L12=1, IF(SUM(K15:K17)&gt;0, SUM(K15:K17), "" ), "")</f>
        <v/>
      </c>
      <c r="L30" s="31">
        <v>1875</v>
      </c>
      <c r="M30" s="32"/>
      <c r="N30" s="33">
        <f>IF(K30&lt;&gt;"", K30*L30, )</f>
        <v>0</v>
      </c>
      <c r="O30" s="41"/>
    </row>
    <row r="31" spans="2:15" ht="16.5" customHeight="1" x14ac:dyDescent="0.2">
      <c r="B31" s="7"/>
      <c r="C31" s="8"/>
      <c r="D31" s="8"/>
      <c r="E31" s="8"/>
      <c r="F31" s="8"/>
      <c r="G31" s="10"/>
      <c r="H31" s="10"/>
      <c r="I31" s="10"/>
      <c r="J31" s="30" t="s">
        <v>11</v>
      </c>
      <c r="K31" s="82" t="str">
        <f>IF(SUM(K15:K17) &lt;&gt; 0, 1, "")</f>
        <v/>
      </c>
      <c r="L31" s="31">
        <v>370</v>
      </c>
      <c r="M31" s="32"/>
      <c r="N31" s="33">
        <f>IF(K31&lt;&gt;"",K31*L31, )</f>
        <v>0</v>
      </c>
      <c r="O31" s="41"/>
    </row>
    <row r="32" spans="2:15" ht="16.5" customHeight="1" x14ac:dyDescent="0.2">
      <c r="B32" s="7"/>
      <c r="C32" s="8"/>
      <c r="D32" s="8"/>
      <c r="E32" s="8"/>
      <c r="F32" s="8"/>
      <c r="G32" s="10"/>
      <c r="H32" s="10"/>
      <c r="I32" s="10"/>
      <c r="J32" s="30" t="s">
        <v>12</v>
      </c>
      <c r="K32" s="82" t="str">
        <f>IF(SUM(K15:K17) &lt;&gt; 0, 1, "")</f>
        <v/>
      </c>
      <c r="L32" s="31">
        <v>370</v>
      </c>
      <c r="M32" s="32"/>
      <c r="N32" s="33">
        <f>IF(K32&lt;&gt;"",K32*L32, )</f>
        <v>0</v>
      </c>
      <c r="O32" s="41"/>
    </row>
    <row r="33" spans="2:15" ht="16.5" customHeight="1" x14ac:dyDescent="0.2">
      <c r="B33" s="7"/>
      <c r="C33" s="8"/>
      <c r="D33" s="8"/>
      <c r="E33" s="8"/>
      <c r="F33" s="8"/>
      <c r="G33" s="10"/>
      <c r="H33" s="10"/>
      <c r="I33" s="10"/>
      <c r="J33" s="30" t="s">
        <v>90</v>
      </c>
      <c r="K33" s="82" t="str">
        <f>IF(AND(OR(K15&lt;&gt;"", K16&lt;&gt;""), OR(L10=1, L10=3)), 1, "")</f>
        <v/>
      </c>
      <c r="L33" s="44" t="s">
        <v>93</v>
      </c>
      <c r="M33" s="32"/>
      <c r="N33" s="33">
        <f>IF(K33=1, L33*J21, )</f>
        <v>0</v>
      </c>
      <c r="O33" s="41"/>
    </row>
    <row r="34" spans="2:15" ht="16.5" customHeight="1" x14ac:dyDescent="0.2">
      <c r="B34" s="7"/>
      <c r="C34" s="8"/>
      <c r="D34" s="8"/>
      <c r="E34" s="8"/>
      <c r="F34" s="8"/>
      <c r="G34" s="10"/>
      <c r="H34" s="10"/>
      <c r="I34" s="10"/>
      <c r="J34" s="30" t="s">
        <v>91</v>
      </c>
      <c r="K34" s="82" t="str">
        <f>IF(K17&lt;&gt;"", 1, "")</f>
        <v/>
      </c>
      <c r="L34" s="44" t="s">
        <v>94</v>
      </c>
      <c r="M34" s="32"/>
      <c r="N34" s="33">
        <f>IF(K34=1, L34*J21, )</f>
        <v>0</v>
      </c>
      <c r="O34" s="41"/>
    </row>
    <row r="35" spans="2:15" ht="16.5" customHeight="1" x14ac:dyDescent="0.2">
      <c r="B35" s="7"/>
      <c r="C35" s="8"/>
      <c r="D35" s="8"/>
      <c r="E35" s="8"/>
      <c r="F35" s="8"/>
      <c r="G35" s="10"/>
      <c r="H35" s="10"/>
      <c r="I35" s="10"/>
      <c r="J35" s="30" t="s">
        <v>92</v>
      </c>
      <c r="K35" s="82" t="str">
        <f>IF(AND(J21&lt;&gt;"", SUM(K15:K17)&lt;&gt;0), 1, "")</f>
        <v/>
      </c>
      <c r="L35" s="44" t="s">
        <v>95</v>
      </c>
      <c r="M35" s="32"/>
      <c r="N35" s="33">
        <f>IF(K35=1, L35*J21, )</f>
        <v>0</v>
      </c>
      <c r="O35" s="41"/>
    </row>
    <row r="36" spans="2:15" ht="16.5" customHeight="1" x14ac:dyDescent="0.2">
      <c r="B36" s="7"/>
      <c r="C36" s="8"/>
      <c r="D36" s="8"/>
      <c r="E36" s="8"/>
      <c r="F36" s="8"/>
      <c r="G36" s="10"/>
      <c r="H36" s="10"/>
      <c r="I36" s="10"/>
      <c r="J36" s="30" t="s">
        <v>13</v>
      </c>
      <c r="K36" s="82" t="str">
        <f>IF(SUM(K15:K17) &lt;&gt; 0, SUM(K15:K17), "")</f>
        <v/>
      </c>
      <c r="L36" s="31">
        <v>480</v>
      </c>
      <c r="M36" s="32"/>
      <c r="N36" s="48">
        <f>IF(K36&lt;&gt;"", K36*L36, )</f>
        <v>0</v>
      </c>
      <c r="O36" s="41"/>
    </row>
    <row r="37" spans="2:15" ht="16.5" customHeight="1" x14ac:dyDescent="0.2">
      <c r="B37" s="7"/>
      <c r="C37" s="8"/>
      <c r="D37" s="8"/>
      <c r="E37" s="8"/>
      <c r="F37" s="8"/>
      <c r="G37" s="10"/>
      <c r="H37" s="10"/>
      <c r="I37" s="10"/>
      <c r="J37" s="30" t="s">
        <v>14</v>
      </c>
      <c r="K37" s="82" t="str">
        <f>IF(SUM(K15:K17) &lt;&gt; 0, SUM(K15:K17), "")</f>
        <v/>
      </c>
      <c r="L37" s="31">
        <v>400</v>
      </c>
      <c r="M37" s="32"/>
      <c r="N37" s="48">
        <f>IF(K37&lt;&gt;"", K37*L37, )</f>
        <v>0</v>
      </c>
      <c r="O37" s="41"/>
    </row>
    <row r="38" spans="2:15" ht="16.5" customHeight="1" x14ac:dyDescent="0.2">
      <c r="B38" s="7"/>
      <c r="C38" s="8"/>
      <c r="D38" s="8"/>
      <c r="E38" s="8"/>
      <c r="F38" s="8"/>
      <c r="G38" s="10"/>
      <c r="H38" s="10"/>
      <c r="I38" s="10"/>
      <c r="J38" s="30" t="s">
        <v>15</v>
      </c>
      <c r="K38" s="82" t="str">
        <f>IF(SUM(K15:K17) &lt;&gt; 0, SUM(K15:K17), "")</f>
        <v/>
      </c>
      <c r="L38" s="31">
        <v>590</v>
      </c>
      <c r="M38" s="32"/>
      <c r="N38" s="48">
        <f>IF(K38&lt;&gt;"", K38*L38, )</f>
        <v>0</v>
      </c>
      <c r="O38" s="41"/>
    </row>
    <row r="39" spans="2:15" ht="16.5" customHeight="1" x14ac:dyDescent="0.2">
      <c r="B39" s="7"/>
      <c r="C39" s="8"/>
      <c r="D39" s="8"/>
      <c r="E39" s="8"/>
      <c r="F39" s="8"/>
      <c r="G39" s="10"/>
      <c r="H39" s="10"/>
      <c r="I39" s="10"/>
      <c r="J39" s="30" t="s">
        <v>16</v>
      </c>
      <c r="K39" s="82" t="str">
        <f>IF(SUM(K15:K17) &lt;&gt; 0, SUM(K15:K17), "")</f>
        <v/>
      </c>
      <c r="L39" s="31">
        <v>480</v>
      </c>
      <c r="M39" s="32"/>
      <c r="N39" s="48">
        <f>IF(K39&lt;&gt;"", K39*L39, )</f>
        <v>0</v>
      </c>
      <c r="O39" s="41"/>
    </row>
    <row r="40" spans="2:15" ht="16.5" customHeight="1" x14ac:dyDescent="0.2">
      <c r="B40" s="7"/>
      <c r="C40" s="8"/>
      <c r="D40" s="8"/>
      <c r="E40" s="8"/>
      <c r="F40" s="8"/>
      <c r="G40" s="10"/>
      <c r="H40" s="10"/>
      <c r="I40" s="10"/>
      <c r="J40" s="30" t="s">
        <v>105</v>
      </c>
      <c r="K40" s="82" t="str">
        <f>IF(AND(SUM(K15:K17)&lt;&gt;0,J21&lt;&gt;""), IF((0.01 * J21)/SUM(K15:K17) &gt; 2600, 1, SUM(K15:K17)), "")</f>
        <v/>
      </c>
      <c r="L40" s="31">
        <f>IF(K40&lt;&gt;"", IF((0.01*J21)/SUM(K15:K17)&gt;2600, (0.01*J21), 2600), 2600)</f>
        <v>2600</v>
      </c>
      <c r="M40" s="32"/>
      <c r="N40" s="48">
        <f>IF(K40&lt;&gt;"",IF((0.01*J21)/SUM(K15:K17)&gt;2600, (0.01*J21), 2600*SUM(K15:K17)), )</f>
        <v>0</v>
      </c>
      <c r="O40" s="41"/>
    </row>
    <row r="41" spans="2:15" ht="16.5" customHeight="1" x14ac:dyDescent="0.2">
      <c r="B41" s="7"/>
      <c r="C41" s="8"/>
      <c r="D41" s="8"/>
      <c r="E41" s="8"/>
      <c r="F41" s="8"/>
      <c r="G41" s="10"/>
      <c r="H41" s="10"/>
      <c r="I41" s="10"/>
      <c r="J41" s="30" t="s">
        <v>106</v>
      </c>
      <c r="K41" s="82" t="str">
        <f>IF(AND(J26&gt;7,SUM(K15:K17)&lt;&gt;0,J21&lt;&gt;""), IF((0.02 * J21)/SUM(K15:K17) &gt; 4680, 1, SUM(K15:K17)), "")</f>
        <v/>
      </c>
      <c r="L41" s="31">
        <f>IF(K41&lt;&gt;"", IF((0.02*J21)/SUM(K15:K17)&gt;4680, (0.02*J21), 4680), 4680)</f>
        <v>4680</v>
      </c>
      <c r="M41" s="32"/>
      <c r="N41" s="48">
        <f>IF(K41&lt;&gt;"", IF((0.02*J21)/SUM(K15:K17)&gt;4680, (0.02*J21), 4680*SUM(K15:K17)), )</f>
        <v>0</v>
      </c>
      <c r="O41" s="41"/>
    </row>
    <row r="42" spans="2:15" ht="16.5" customHeight="1" x14ac:dyDescent="0.2">
      <c r="B42" s="7"/>
      <c r="C42" s="8"/>
      <c r="D42" s="8"/>
      <c r="E42" s="8"/>
      <c r="F42" s="8"/>
      <c r="G42" s="10"/>
      <c r="H42" s="10"/>
      <c r="I42" s="10"/>
      <c r="J42" s="30" t="s">
        <v>107</v>
      </c>
      <c r="K42" s="82" t="str">
        <f>IF(AND(J26&gt;14, SUM(K15:K17)&lt;&gt;0, J21&lt;&gt;""), IF((0.03 * J21)/SUM(K15:K17) &gt; 5616, 1, SUM(K15:K17)), "")</f>
        <v/>
      </c>
      <c r="L42" s="31">
        <f>IF(K42&lt;&gt;"", IF((0.03*J21)/SUM(K15:K17)&gt;5616, (0.03*J21), 5616), 5616)</f>
        <v>5616</v>
      </c>
      <c r="M42" s="32"/>
      <c r="N42" s="48">
        <f>IF(K42&lt;&gt;"", IF((0.03*J21)/SUM(K15:K17)&gt;5616, (0.03*J21), 5616*SUM(K15:K17)), )</f>
        <v>0</v>
      </c>
      <c r="O42" s="41"/>
    </row>
    <row r="43" spans="2:15" ht="16.5" customHeight="1" x14ac:dyDescent="0.2">
      <c r="B43" s="7"/>
      <c r="C43" s="8"/>
      <c r="D43" s="8"/>
      <c r="E43" s="8"/>
      <c r="F43" s="8"/>
      <c r="G43" s="10"/>
      <c r="H43" s="10"/>
      <c r="I43" s="10"/>
      <c r="J43" s="30" t="s">
        <v>108</v>
      </c>
      <c r="K43" s="82" t="str">
        <f>IF(AND(J26&gt;21, SUM(K15:K17)&lt;&gt;0, J21&lt;&gt;""), IF((0.04 * J21)/SUM(K15:K17) &gt; 6739, 1, SUM(K15:K17)), "")</f>
        <v/>
      </c>
      <c r="L43" s="31">
        <f>IF(K43&lt;&gt;"", IF((0.04*J21)/SUM(K15:K17)&gt;6739, (0.04*J21), 6739), 6739)</f>
        <v>6739</v>
      </c>
      <c r="M43" s="32"/>
      <c r="N43" s="48">
        <f>IF(K43&lt;&gt;"", IF((0.04*J21)/SUM(K15:K17)&gt;6739, (0.04*J21), 6739*SUM(K15:K17)), )</f>
        <v>0</v>
      </c>
      <c r="O43" s="41"/>
    </row>
    <row r="44" spans="2:15" ht="16.5" customHeight="1" x14ac:dyDescent="0.2">
      <c r="B44" s="7"/>
      <c r="C44" s="8"/>
      <c r="D44" s="8"/>
      <c r="E44" s="8"/>
      <c r="F44" s="8"/>
      <c r="G44" s="10"/>
      <c r="H44" s="10"/>
      <c r="I44" s="10"/>
      <c r="J44" s="30" t="s">
        <v>97</v>
      </c>
      <c r="K44" s="82" t="str">
        <f>IF(AND(L10=3, SUM(K15:K17)&gt;0), 1, "")</f>
        <v/>
      </c>
      <c r="L44" s="44" t="s">
        <v>96</v>
      </c>
      <c r="M44" s="32"/>
      <c r="N44" s="33">
        <f>IF(K44=1, SUM(N36:N39,N40:N43), )</f>
        <v>0</v>
      </c>
      <c r="O44" s="41"/>
    </row>
    <row r="45" spans="2:15" ht="16.5" customHeight="1" x14ac:dyDescent="0.2">
      <c r="B45" s="7"/>
      <c r="C45" s="8"/>
      <c r="D45" s="8"/>
      <c r="E45" s="8"/>
      <c r="F45" s="8"/>
      <c r="G45" s="10"/>
      <c r="H45" s="10"/>
      <c r="I45" s="10"/>
      <c r="J45" s="30" t="s">
        <v>98</v>
      </c>
      <c r="K45" s="82" t="str">
        <f>IF(AND(L10=2, SUM(K15:K17)&gt;0), 1, "")</f>
        <v/>
      </c>
      <c r="L45" s="44" t="s">
        <v>96</v>
      </c>
      <c r="M45" s="32"/>
      <c r="N45" s="33">
        <f>IF(K45=1, SUM(N29:N30,N36:N37,N39,N40:N44), )</f>
        <v>0</v>
      </c>
      <c r="O45" s="41"/>
    </row>
    <row r="46" spans="2:15" ht="16.5" customHeight="1" x14ac:dyDescent="0.2">
      <c r="B46" s="7"/>
      <c r="C46" s="8"/>
      <c r="D46" s="8"/>
      <c r="E46" s="8"/>
      <c r="F46" s="8"/>
      <c r="G46" s="10"/>
      <c r="H46" s="10"/>
      <c r="I46" s="10"/>
      <c r="J46" s="30" t="s">
        <v>132</v>
      </c>
      <c r="K46" s="82" t="str">
        <f>IF(K16&lt;&gt;"", K16, "")</f>
        <v/>
      </c>
      <c r="L46" s="44" t="s">
        <v>96</v>
      </c>
      <c r="M46" s="32"/>
      <c r="N46" s="33">
        <f>IF(K46&lt;&gt;"", (SUM(N40:N43)/SUM(K15:K17))*K16, )</f>
        <v>0</v>
      </c>
      <c r="O46" s="41"/>
    </row>
    <row r="47" spans="2:15" ht="16.5" customHeight="1" x14ac:dyDescent="0.2">
      <c r="B47" s="7"/>
      <c r="C47" s="8"/>
      <c r="D47" s="8"/>
      <c r="E47" s="8"/>
      <c r="F47" s="8"/>
      <c r="G47" s="10"/>
      <c r="H47" s="10"/>
      <c r="I47" s="10"/>
      <c r="J47" s="30" t="s">
        <v>131</v>
      </c>
      <c r="K47" s="82" t="str">
        <f>IF(K16&lt;&gt;"", K16, "")</f>
        <v/>
      </c>
      <c r="L47" s="44" t="s">
        <v>96</v>
      </c>
      <c r="M47" s="32"/>
      <c r="N47" s="33">
        <f>IF(K47=1, (SUM(N36,N39)/SUM(K15:K17))*K16, )</f>
        <v>0</v>
      </c>
      <c r="O47" s="41"/>
    </row>
    <row r="48" spans="2:15" ht="16.5" customHeight="1" x14ac:dyDescent="0.2">
      <c r="B48" s="7"/>
      <c r="C48" s="8"/>
      <c r="D48" s="8"/>
      <c r="E48" s="8"/>
      <c r="F48" s="8"/>
      <c r="G48" s="10"/>
      <c r="H48" s="10"/>
      <c r="I48" s="10"/>
      <c r="J48" s="30" t="s">
        <v>20</v>
      </c>
      <c r="K48" s="63"/>
      <c r="L48" s="31">
        <v>1200</v>
      </c>
      <c r="M48" s="32"/>
      <c r="N48" s="33">
        <f>K48*L48</f>
        <v>0</v>
      </c>
      <c r="O48" s="41"/>
    </row>
    <row r="49" spans="2:16" ht="16.5" customHeight="1" x14ac:dyDescent="0.2">
      <c r="B49" s="7"/>
      <c r="C49" s="8"/>
      <c r="D49" s="8"/>
      <c r="E49" s="8"/>
      <c r="F49" s="8"/>
      <c r="G49" s="10"/>
      <c r="H49" s="10"/>
      <c r="I49" s="10"/>
      <c r="J49" s="30" t="s">
        <v>84</v>
      </c>
      <c r="K49" s="82" t="str">
        <f>IF(AND(K19&gt;0,K19&lt;=SUM(K15:K17)), K19, "")</f>
        <v/>
      </c>
      <c r="L49" s="44" t="s">
        <v>83</v>
      </c>
      <c r="M49" s="32"/>
      <c r="N49" s="45">
        <f>IF(L12=1, (K19*L30)*0.3, (K19*L29)*0.3)</f>
        <v>0</v>
      </c>
      <c r="O49" s="41"/>
    </row>
    <row r="50" spans="2:16" ht="16.5" customHeight="1" x14ac:dyDescent="0.2">
      <c r="B50" s="7"/>
      <c r="C50" s="8"/>
      <c r="D50" s="8"/>
      <c r="E50" s="8"/>
      <c r="F50" s="8"/>
      <c r="G50" s="10"/>
      <c r="H50" s="10"/>
      <c r="I50" s="10"/>
      <c r="J50" s="30" t="s">
        <v>21</v>
      </c>
      <c r="K50" s="63"/>
      <c r="L50" s="31">
        <v>1200</v>
      </c>
      <c r="M50" s="32"/>
      <c r="N50" s="33">
        <f>K50*L50</f>
        <v>0</v>
      </c>
      <c r="O50" s="41"/>
    </row>
    <row r="51" spans="2:16" ht="12" customHeight="1" x14ac:dyDescent="0.2">
      <c r="B51" s="54"/>
      <c r="C51" s="99" t="s">
        <v>119</v>
      </c>
      <c r="D51" s="99"/>
      <c r="E51" s="99"/>
      <c r="F51" s="99"/>
      <c r="G51" s="99"/>
      <c r="H51" s="99"/>
      <c r="I51" s="99"/>
      <c r="J51" s="100"/>
      <c r="K51" s="101" t="str">
        <f>IF(J21&gt;2500000, 1, "")</f>
        <v/>
      </c>
      <c r="L51" s="103">
        <v>1750</v>
      </c>
      <c r="M51" s="32"/>
      <c r="N51" s="104">
        <f>IF(K51&lt;&gt;"", K51*L51, )</f>
        <v>0</v>
      </c>
      <c r="O51" s="19"/>
    </row>
    <row r="52" spans="2:16" ht="12" customHeight="1" x14ac:dyDescent="0.2">
      <c r="B52" s="54"/>
      <c r="C52" s="99"/>
      <c r="D52" s="99"/>
      <c r="E52" s="99"/>
      <c r="F52" s="99"/>
      <c r="G52" s="99"/>
      <c r="H52" s="99"/>
      <c r="I52" s="99"/>
      <c r="J52" s="100"/>
      <c r="K52" s="102"/>
      <c r="L52" s="103"/>
      <c r="M52" s="32"/>
      <c r="N52" s="104"/>
      <c r="O52" s="19"/>
    </row>
    <row r="53" spans="2:16" ht="16.5" customHeight="1" x14ac:dyDescent="0.2">
      <c r="B53" s="7"/>
      <c r="C53" s="8"/>
      <c r="D53" s="8"/>
      <c r="E53" s="8"/>
      <c r="F53" s="8"/>
      <c r="G53" s="10"/>
      <c r="H53" s="10"/>
      <c r="I53" s="10"/>
      <c r="J53" s="30" t="s">
        <v>18</v>
      </c>
      <c r="K53" s="63"/>
      <c r="L53" s="31">
        <v>18000</v>
      </c>
      <c r="M53" s="32"/>
      <c r="N53" s="33">
        <f t="shared" ref="N53:N70" si="0">K53*L53</f>
        <v>0</v>
      </c>
      <c r="O53" s="19"/>
    </row>
    <row r="54" spans="2:16" ht="16.5" customHeight="1" x14ac:dyDescent="0.2">
      <c r="B54" s="7"/>
      <c r="C54" s="8"/>
      <c r="D54" s="8"/>
      <c r="E54" s="8"/>
      <c r="F54" s="8"/>
      <c r="G54" s="10"/>
      <c r="H54" s="10"/>
      <c r="I54" s="10"/>
      <c r="J54" s="30" t="s">
        <v>22</v>
      </c>
      <c r="K54" s="63"/>
      <c r="L54" s="31">
        <v>860</v>
      </c>
      <c r="M54" s="32"/>
      <c r="N54" s="33">
        <f t="shared" si="0"/>
        <v>0</v>
      </c>
      <c r="O54" s="19"/>
    </row>
    <row r="55" spans="2:16" ht="16.5" customHeight="1" x14ac:dyDescent="0.2">
      <c r="B55" s="7"/>
      <c r="C55" s="8"/>
      <c r="D55" s="8"/>
      <c r="E55" s="8"/>
      <c r="F55" s="8"/>
      <c r="G55" s="10"/>
      <c r="H55" s="10"/>
      <c r="I55" s="10"/>
      <c r="J55" s="30" t="s">
        <v>23</v>
      </c>
      <c r="K55" s="63"/>
      <c r="L55" s="31">
        <v>420</v>
      </c>
      <c r="M55" s="32"/>
      <c r="N55" s="33">
        <f t="shared" si="0"/>
        <v>0</v>
      </c>
      <c r="O55" s="19"/>
    </row>
    <row r="56" spans="2:16" ht="16.5" customHeight="1" x14ac:dyDescent="0.2">
      <c r="B56" s="7"/>
      <c r="C56" s="8"/>
      <c r="D56" s="8"/>
      <c r="E56" s="8"/>
      <c r="F56" s="8"/>
      <c r="G56" s="10"/>
      <c r="H56" s="10"/>
      <c r="I56" s="10"/>
      <c r="J56" s="30" t="s">
        <v>24</v>
      </c>
      <c r="K56" s="63"/>
      <c r="L56" s="31">
        <v>900</v>
      </c>
      <c r="M56" s="32"/>
      <c r="N56" s="33">
        <f t="shared" si="0"/>
        <v>0</v>
      </c>
      <c r="O56" s="19"/>
    </row>
    <row r="57" spans="2:16" ht="16.5" customHeight="1" x14ac:dyDescent="0.2">
      <c r="B57" s="7"/>
      <c r="C57" s="8"/>
      <c r="D57" s="8"/>
      <c r="E57" s="8"/>
      <c r="F57" s="8"/>
      <c r="G57" s="10"/>
      <c r="H57" s="10"/>
      <c r="I57" s="10"/>
      <c r="J57" s="30" t="s">
        <v>25</v>
      </c>
      <c r="K57" s="63"/>
      <c r="L57" s="31">
        <v>700</v>
      </c>
      <c r="M57" s="32"/>
      <c r="N57" s="33">
        <f t="shared" si="0"/>
        <v>0</v>
      </c>
      <c r="O57" s="19"/>
    </row>
    <row r="58" spans="2:16" ht="16.5" customHeight="1" x14ac:dyDescent="0.2">
      <c r="B58" s="7"/>
      <c r="C58" s="8"/>
      <c r="D58" s="8"/>
      <c r="E58" s="8"/>
      <c r="F58" s="8"/>
      <c r="G58" s="10"/>
      <c r="H58" s="10"/>
      <c r="I58" s="10"/>
      <c r="J58" s="30" t="s">
        <v>26</v>
      </c>
      <c r="K58" s="63"/>
      <c r="L58" s="31">
        <v>2600</v>
      </c>
      <c r="M58" s="32"/>
      <c r="N58" s="33">
        <f t="shared" si="0"/>
        <v>0</v>
      </c>
      <c r="O58" s="60"/>
      <c r="P58" s="75"/>
    </row>
    <row r="59" spans="2:16" ht="16.5" customHeight="1" x14ac:dyDescent="0.2">
      <c r="B59" s="7"/>
      <c r="C59" s="8"/>
      <c r="D59" s="8"/>
      <c r="E59" s="8"/>
      <c r="F59" s="8"/>
      <c r="G59" s="10"/>
      <c r="H59" s="10"/>
      <c r="I59" s="10"/>
      <c r="J59" s="30" t="s">
        <v>27</v>
      </c>
      <c r="K59" s="63"/>
      <c r="L59" s="31">
        <v>2600</v>
      </c>
      <c r="M59" s="32"/>
      <c r="N59" s="33">
        <f t="shared" si="0"/>
        <v>0</v>
      </c>
      <c r="O59" s="60"/>
      <c r="P59" s="75"/>
    </row>
    <row r="60" spans="2:16" ht="16.5" customHeight="1" x14ac:dyDescent="0.2">
      <c r="B60" s="7"/>
      <c r="C60" s="8"/>
      <c r="D60" s="8"/>
      <c r="E60" s="8"/>
      <c r="F60" s="8"/>
      <c r="G60" s="10"/>
      <c r="H60" s="10"/>
      <c r="I60" s="10"/>
      <c r="J60" s="30" t="s">
        <v>28</v>
      </c>
      <c r="K60" s="63"/>
      <c r="L60" s="31">
        <v>4584</v>
      </c>
      <c r="M60" s="32"/>
      <c r="N60" s="33">
        <f t="shared" si="0"/>
        <v>0</v>
      </c>
      <c r="O60" s="60"/>
      <c r="P60" s="75"/>
    </row>
    <row r="61" spans="2:16" ht="16.5" customHeight="1" x14ac:dyDescent="0.2">
      <c r="B61" s="7"/>
      <c r="C61" s="8"/>
      <c r="D61" s="8"/>
      <c r="E61" s="8"/>
      <c r="F61" s="8"/>
      <c r="G61" s="10"/>
      <c r="H61" s="10"/>
      <c r="I61" s="10"/>
      <c r="J61" s="30" t="s">
        <v>29</v>
      </c>
      <c r="K61" s="63"/>
      <c r="L61" s="31">
        <v>2200</v>
      </c>
      <c r="M61" s="32"/>
      <c r="N61" s="33">
        <f t="shared" si="0"/>
        <v>0</v>
      </c>
      <c r="O61" s="19"/>
    </row>
    <row r="62" spans="2:16" ht="16.5" customHeight="1" x14ac:dyDescent="0.2">
      <c r="B62" s="7"/>
      <c r="C62" s="8"/>
      <c r="D62" s="8"/>
      <c r="E62" s="8"/>
      <c r="F62" s="8"/>
      <c r="G62" s="10"/>
      <c r="H62" s="10"/>
      <c r="I62" s="10"/>
      <c r="J62" s="30" t="s">
        <v>30</v>
      </c>
      <c r="K62" s="63"/>
      <c r="L62" s="31">
        <v>3820</v>
      </c>
      <c r="M62" s="32"/>
      <c r="N62" s="33">
        <f t="shared" si="0"/>
        <v>0</v>
      </c>
      <c r="O62" s="60"/>
      <c r="P62" s="75"/>
    </row>
    <row r="63" spans="2:16" ht="16.5" customHeight="1" x14ac:dyDescent="0.2">
      <c r="B63" s="7"/>
      <c r="C63" s="8"/>
      <c r="D63" s="8"/>
      <c r="E63" s="8"/>
      <c r="F63" s="8"/>
      <c r="G63" s="10"/>
      <c r="H63" s="10"/>
      <c r="I63" s="10"/>
      <c r="J63" s="30" t="s">
        <v>31</v>
      </c>
      <c r="K63" s="63"/>
      <c r="L63" s="31">
        <v>7640</v>
      </c>
      <c r="M63" s="32"/>
      <c r="N63" s="33">
        <f t="shared" si="0"/>
        <v>0</v>
      </c>
      <c r="O63" s="60"/>
      <c r="P63" s="75"/>
    </row>
    <row r="64" spans="2:16" ht="16.5" customHeight="1" x14ac:dyDescent="0.2">
      <c r="B64" s="7"/>
      <c r="C64" s="8"/>
      <c r="D64" s="8"/>
      <c r="E64" s="8"/>
      <c r="F64" s="8"/>
      <c r="G64" s="10"/>
      <c r="H64" s="10"/>
      <c r="I64" s="10"/>
      <c r="J64" s="30" t="s">
        <v>32</v>
      </c>
      <c r="K64" s="63"/>
      <c r="L64" s="31">
        <v>480</v>
      </c>
      <c r="M64" s="32"/>
      <c r="N64" s="48">
        <f t="shared" si="0"/>
        <v>0</v>
      </c>
      <c r="O64" s="19"/>
    </row>
    <row r="65" spans="2:15" ht="16.5" customHeight="1" x14ac:dyDescent="0.2">
      <c r="B65" s="7"/>
      <c r="C65" s="8"/>
      <c r="D65" s="8"/>
      <c r="E65" s="8"/>
      <c r="F65" s="8"/>
      <c r="G65" s="10"/>
      <c r="H65" s="10"/>
      <c r="I65" s="10"/>
      <c r="J65" s="30" t="s">
        <v>33</v>
      </c>
      <c r="K65" s="63"/>
      <c r="L65" s="31">
        <v>1200</v>
      </c>
      <c r="M65" s="32"/>
      <c r="N65" s="33">
        <f t="shared" si="0"/>
        <v>0</v>
      </c>
      <c r="O65" s="19"/>
    </row>
    <row r="66" spans="2:15" ht="16.5" customHeight="1" x14ac:dyDescent="0.2">
      <c r="B66" s="7"/>
      <c r="C66" s="8"/>
      <c r="D66" s="8"/>
      <c r="E66" s="8"/>
      <c r="F66" s="8"/>
      <c r="G66" s="10"/>
      <c r="H66" s="10"/>
      <c r="I66" s="10"/>
      <c r="J66" s="30" t="s">
        <v>34</v>
      </c>
      <c r="K66" s="63"/>
      <c r="L66" s="31">
        <v>1800</v>
      </c>
      <c r="M66" s="32"/>
      <c r="N66" s="33">
        <f t="shared" si="0"/>
        <v>0</v>
      </c>
      <c r="O66" s="19"/>
    </row>
    <row r="67" spans="2:15" ht="16.5" customHeight="1" x14ac:dyDescent="0.2">
      <c r="B67" s="7"/>
      <c r="C67" s="8"/>
      <c r="D67" s="8"/>
      <c r="E67" s="8"/>
      <c r="F67" s="8"/>
      <c r="G67" s="10"/>
      <c r="H67" s="10"/>
      <c r="I67" s="10"/>
      <c r="J67" s="30" t="s">
        <v>35</v>
      </c>
      <c r="K67" s="63"/>
      <c r="L67" s="31">
        <v>710</v>
      </c>
      <c r="M67" s="32"/>
      <c r="N67" s="33">
        <f t="shared" si="0"/>
        <v>0</v>
      </c>
      <c r="O67" s="19"/>
    </row>
    <row r="68" spans="2:15" ht="16.5" customHeight="1" x14ac:dyDescent="0.2">
      <c r="B68" s="7"/>
      <c r="C68" s="8"/>
      <c r="D68" s="8"/>
      <c r="E68" s="8"/>
      <c r="F68" s="8"/>
      <c r="G68" s="10"/>
      <c r="H68" s="10"/>
      <c r="I68" s="10"/>
      <c r="J68" s="30" t="s">
        <v>36</v>
      </c>
      <c r="K68" s="63"/>
      <c r="L68" s="31">
        <v>450</v>
      </c>
      <c r="M68" s="32"/>
      <c r="N68" s="48">
        <f t="shared" si="0"/>
        <v>0</v>
      </c>
      <c r="O68" s="19"/>
    </row>
    <row r="69" spans="2:15" ht="16.5" customHeight="1" x14ac:dyDescent="0.2">
      <c r="B69" s="7"/>
      <c r="C69" s="8"/>
      <c r="D69" s="8"/>
      <c r="E69" s="8"/>
      <c r="F69" s="8"/>
      <c r="G69" s="10"/>
      <c r="H69" s="10"/>
      <c r="I69" s="10"/>
      <c r="J69" s="30" t="s">
        <v>37</v>
      </c>
      <c r="K69" s="63"/>
      <c r="L69" s="31">
        <v>850</v>
      </c>
      <c r="M69" s="32"/>
      <c r="N69" s="48">
        <f t="shared" si="0"/>
        <v>0</v>
      </c>
      <c r="O69" s="19"/>
    </row>
    <row r="70" spans="2:15" ht="16.5" customHeight="1" x14ac:dyDescent="0.2">
      <c r="B70" s="7"/>
      <c r="C70" s="8"/>
      <c r="D70" s="8"/>
      <c r="E70" s="8"/>
      <c r="F70" s="8"/>
      <c r="G70" s="10"/>
      <c r="H70" s="10"/>
      <c r="I70" s="10"/>
      <c r="J70" s="30" t="s">
        <v>38</v>
      </c>
      <c r="K70" s="63"/>
      <c r="L70" s="31">
        <v>1350</v>
      </c>
      <c r="M70" s="32"/>
      <c r="N70" s="33">
        <f t="shared" si="0"/>
        <v>0</v>
      </c>
      <c r="O70" s="19"/>
    </row>
    <row r="71" spans="2:15" ht="16.5" customHeight="1" x14ac:dyDescent="0.2">
      <c r="B71" s="7"/>
      <c r="C71" s="8"/>
      <c r="D71" s="8"/>
      <c r="E71" s="8"/>
      <c r="F71" s="8"/>
      <c r="G71" s="10"/>
      <c r="H71" s="10"/>
      <c r="I71" s="10"/>
      <c r="J71" s="30" t="s">
        <v>99</v>
      </c>
      <c r="K71" s="82" t="str">
        <f>IF(AND(L10=3, SUM(K15:K17)&gt;0), 1, "")</f>
        <v/>
      </c>
      <c r="L71" s="44" t="s">
        <v>96</v>
      </c>
      <c r="M71" s="32"/>
      <c r="N71" s="33">
        <f>IF(K71=1, SUM(N53:N63,N65:N67,N70), )</f>
        <v>0</v>
      </c>
      <c r="O71" s="19"/>
    </row>
    <row r="72" spans="2:15" ht="16.5" customHeight="1" x14ac:dyDescent="0.2">
      <c r="B72" s="7"/>
      <c r="C72" s="8"/>
      <c r="D72" s="8"/>
      <c r="E72" s="8"/>
      <c r="F72" s="8"/>
      <c r="G72" s="10"/>
      <c r="H72" s="10"/>
      <c r="I72" s="10"/>
      <c r="J72" s="30" t="s">
        <v>100</v>
      </c>
      <c r="K72" s="82" t="str">
        <f>IF(AND(L10=2, SUM(K15:K17)&gt;0), 1, "")</f>
        <v/>
      </c>
      <c r="L72" s="44" t="s">
        <v>96</v>
      </c>
      <c r="M72" s="32"/>
      <c r="N72" s="33">
        <f>IF(K72=1, SUM(N53:N63,N65:N67,N70), )</f>
        <v>0</v>
      </c>
      <c r="O72" s="19"/>
    </row>
    <row r="73" spans="2:15" ht="16.5" customHeight="1" x14ac:dyDescent="0.2">
      <c r="B73" s="7"/>
      <c r="C73" s="8"/>
      <c r="D73" s="8"/>
      <c r="E73" s="8"/>
      <c r="F73" s="8"/>
      <c r="G73" s="10"/>
      <c r="H73" s="10"/>
      <c r="I73" s="10"/>
      <c r="J73" s="30" t="s">
        <v>133</v>
      </c>
      <c r="K73" s="63"/>
      <c r="L73" s="31">
        <v>1200</v>
      </c>
      <c r="M73" s="32"/>
      <c r="N73" s="33">
        <f t="shared" ref="N73:N113" si="1">K73*L73</f>
        <v>0</v>
      </c>
      <c r="O73" s="19"/>
    </row>
    <row r="74" spans="2:15" ht="16.5" customHeight="1" x14ac:dyDescent="0.2">
      <c r="B74" s="7"/>
      <c r="C74" s="8"/>
      <c r="D74" s="8"/>
      <c r="E74" s="8"/>
      <c r="F74" s="8"/>
      <c r="G74" s="10"/>
      <c r="H74" s="10"/>
      <c r="I74" s="10"/>
      <c r="J74" s="30" t="s">
        <v>136</v>
      </c>
      <c r="K74" s="63"/>
      <c r="L74" s="31">
        <v>1350</v>
      </c>
      <c r="M74" s="32"/>
      <c r="N74" s="33">
        <f t="shared" si="1"/>
        <v>0</v>
      </c>
      <c r="O74" s="19"/>
    </row>
    <row r="75" spans="2:15" ht="16.5" customHeight="1" x14ac:dyDescent="0.2">
      <c r="B75" s="7"/>
      <c r="C75" s="8"/>
      <c r="D75" s="8"/>
      <c r="E75" s="8"/>
      <c r="F75" s="8"/>
      <c r="G75" s="10"/>
      <c r="H75" s="10"/>
      <c r="I75" s="10"/>
      <c r="J75" s="30" t="s">
        <v>135</v>
      </c>
      <c r="K75" s="63"/>
      <c r="L75" s="31">
        <v>1350</v>
      </c>
      <c r="M75" s="32"/>
      <c r="N75" s="33">
        <f t="shared" si="1"/>
        <v>0</v>
      </c>
      <c r="O75" s="19"/>
    </row>
    <row r="76" spans="2:15" ht="16.5" customHeight="1" x14ac:dyDescent="0.2">
      <c r="B76" s="7"/>
      <c r="C76" s="8"/>
      <c r="D76" s="8"/>
      <c r="E76" s="8"/>
      <c r="F76" s="8"/>
      <c r="G76" s="10"/>
      <c r="H76" s="10"/>
      <c r="I76" s="10"/>
      <c r="J76" s="30" t="s">
        <v>134</v>
      </c>
      <c r="K76" s="63"/>
      <c r="L76" s="31">
        <v>1550</v>
      </c>
      <c r="M76" s="32"/>
      <c r="N76" s="33">
        <f t="shared" si="1"/>
        <v>0</v>
      </c>
      <c r="O76" s="19"/>
    </row>
    <row r="77" spans="2:15" ht="16.5" customHeight="1" x14ac:dyDescent="0.2">
      <c r="B77" s="7"/>
      <c r="C77" s="8"/>
      <c r="D77" s="8"/>
      <c r="E77" s="8"/>
      <c r="F77" s="8"/>
      <c r="G77" s="10"/>
      <c r="H77" s="10"/>
      <c r="I77" s="10"/>
      <c r="J77" s="30" t="s">
        <v>137</v>
      </c>
      <c r="K77" s="63"/>
      <c r="L77" s="31">
        <v>2000</v>
      </c>
      <c r="M77" s="32"/>
      <c r="N77" s="33">
        <f>IF(K77&lt;&gt;"", K77*L77, )</f>
        <v>0</v>
      </c>
      <c r="O77" s="19"/>
    </row>
    <row r="78" spans="2:15" ht="16.5" customHeight="1" x14ac:dyDescent="0.2">
      <c r="B78" s="7"/>
      <c r="C78" s="8"/>
      <c r="D78" s="8"/>
      <c r="E78" s="8"/>
      <c r="F78" s="8"/>
      <c r="G78" s="10"/>
      <c r="H78" s="10"/>
      <c r="I78" s="10"/>
      <c r="J78" s="30" t="s">
        <v>45</v>
      </c>
      <c r="K78" s="63"/>
      <c r="L78" s="31">
        <v>850</v>
      </c>
      <c r="M78" s="32"/>
      <c r="N78" s="33">
        <f t="shared" si="1"/>
        <v>0</v>
      </c>
      <c r="O78" s="19"/>
    </row>
    <row r="79" spans="2:15" ht="16.5" customHeight="1" x14ac:dyDescent="0.2">
      <c r="B79" s="7"/>
      <c r="C79" s="8"/>
      <c r="D79" s="8"/>
      <c r="E79" s="8"/>
      <c r="F79" s="8"/>
      <c r="G79" s="10"/>
      <c r="H79" s="10"/>
      <c r="I79" s="10"/>
      <c r="J79" s="30" t="s">
        <v>46</v>
      </c>
      <c r="K79" s="63"/>
      <c r="L79" s="31">
        <v>280</v>
      </c>
      <c r="M79" s="32"/>
      <c r="N79" s="33">
        <f t="shared" si="1"/>
        <v>0</v>
      </c>
      <c r="O79" s="19"/>
    </row>
    <row r="80" spans="2:15" ht="16.5" customHeight="1" x14ac:dyDescent="0.2">
      <c r="B80" s="7"/>
      <c r="C80" s="8"/>
      <c r="D80" s="8"/>
      <c r="E80" s="8"/>
      <c r="F80" s="8"/>
      <c r="G80" s="10"/>
      <c r="H80" s="10"/>
      <c r="I80" s="10"/>
      <c r="J80" s="30" t="s">
        <v>49</v>
      </c>
      <c r="K80" s="63"/>
      <c r="L80" s="31">
        <v>660</v>
      </c>
      <c r="M80" s="32"/>
      <c r="N80" s="33">
        <f t="shared" si="1"/>
        <v>0</v>
      </c>
      <c r="O80" s="19"/>
    </row>
    <row r="81" spans="2:15" ht="16.5" customHeight="1" x14ac:dyDescent="0.2">
      <c r="B81" s="7"/>
      <c r="C81" s="8"/>
      <c r="D81" s="8"/>
      <c r="E81" s="8"/>
      <c r="F81" s="8"/>
      <c r="G81" s="10"/>
      <c r="H81" s="10"/>
      <c r="I81" s="10"/>
      <c r="J81" s="30" t="s">
        <v>50</v>
      </c>
      <c r="K81" s="63"/>
      <c r="L81" s="31">
        <v>120</v>
      </c>
      <c r="M81" s="32"/>
      <c r="N81" s="33">
        <f t="shared" si="1"/>
        <v>0</v>
      </c>
      <c r="O81" s="19"/>
    </row>
    <row r="82" spans="2:15" ht="16.5" customHeight="1" x14ac:dyDescent="0.2">
      <c r="B82" s="7"/>
      <c r="C82" s="8"/>
      <c r="D82" s="8"/>
      <c r="E82" s="8"/>
      <c r="F82" s="8"/>
      <c r="G82" s="10"/>
      <c r="H82" s="10"/>
      <c r="I82" s="10"/>
      <c r="J82" s="30" t="s">
        <v>51</v>
      </c>
      <c r="K82" s="63"/>
      <c r="L82" s="31">
        <v>550</v>
      </c>
      <c r="M82" s="32"/>
      <c r="N82" s="33">
        <f t="shared" si="1"/>
        <v>0</v>
      </c>
      <c r="O82" s="19"/>
    </row>
    <row r="83" spans="2:15" ht="16.5" customHeight="1" x14ac:dyDescent="0.2">
      <c r="B83" s="7"/>
      <c r="C83" s="8"/>
      <c r="D83" s="8"/>
      <c r="E83" s="8"/>
      <c r="F83" s="8"/>
      <c r="G83" s="10"/>
      <c r="H83" s="10"/>
      <c r="I83" s="10"/>
      <c r="J83" s="30" t="s">
        <v>52</v>
      </c>
      <c r="K83" s="63"/>
      <c r="L83" s="31">
        <v>250</v>
      </c>
      <c r="M83" s="32"/>
      <c r="N83" s="33">
        <f t="shared" si="1"/>
        <v>0</v>
      </c>
      <c r="O83" s="19"/>
    </row>
    <row r="84" spans="2:15" ht="16.5" customHeight="1" x14ac:dyDescent="0.2">
      <c r="B84" s="7"/>
      <c r="C84" s="8"/>
      <c r="D84" s="8"/>
      <c r="E84" s="8"/>
      <c r="F84" s="8"/>
      <c r="G84" s="10"/>
      <c r="H84" s="10"/>
      <c r="I84" s="10"/>
      <c r="J84" s="30" t="s">
        <v>53</v>
      </c>
      <c r="K84" s="63"/>
      <c r="L84" s="31">
        <v>400</v>
      </c>
      <c r="M84" s="32"/>
      <c r="N84" s="33">
        <f t="shared" si="1"/>
        <v>0</v>
      </c>
      <c r="O84" s="19"/>
    </row>
    <row r="85" spans="2:15" ht="16.5" customHeight="1" x14ac:dyDescent="0.2">
      <c r="B85" s="7"/>
      <c r="C85" s="8"/>
      <c r="D85" s="8"/>
      <c r="E85" s="8"/>
      <c r="F85" s="8"/>
      <c r="G85" s="10"/>
      <c r="H85" s="10"/>
      <c r="I85" s="10"/>
      <c r="J85" s="30" t="s">
        <v>54</v>
      </c>
      <c r="K85" s="63"/>
      <c r="L85" s="31">
        <v>500</v>
      </c>
      <c r="M85" s="32"/>
      <c r="N85" s="33">
        <f t="shared" si="1"/>
        <v>0</v>
      </c>
      <c r="O85" s="19"/>
    </row>
    <row r="86" spans="2:15" ht="16.5" customHeight="1" x14ac:dyDescent="0.2">
      <c r="B86" s="7"/>
      <c r="C86" s="8"/>
      <c r="D86" s="8"/>
      <c r="E86" s="8"/>
      <c r="F86" s="8"/>
      <c r="G86" s="10"/>
      <c r="H86" s="10"/>
      <c r="I86" s="10"/>
      <c r="J86" s="30" t="s">
        <v>55</v>
      </c>
      <c r="K86" s="63"/>
      <c r="L86" s="31">
        <v>600</v>
      </c>
      <c r="M86" s="32"/>
      <c r="N86" s="33">
        <f t="shared" si="1"/>
        <v>0</v>
      </c>
      <c r="O86" s="19"/>
    </row>
    <row r="87" spans="2:15" ht="16.5" customHeight="1" x14ac:dyDescent="0.2">
      <c r="B87" s="7"/>
      <c r="C87" s="8"/>
      <c r="D87" s="8"/>
      <c r="E87" s="8"/>
      <c r="F87" s="8"/>
      <c r="G87" s="10"/>
      <c r="H87" s="10"/>
      <c r="I87" s="10"/>
      <c r="J87" s="30" t="s">
        <v>56</v>
      </c>
      <c r="K87" s="63"/>
      <c r="L87" s="31">
        <v>820</v>
      </c>
      <c r="M87" s="32"/>
      <c r="N87" s="33">
        <f t="shared" si="1"/>
        <v>0</v>
      </c>
      <c r="O87" s="19"/>
    </row>
    <row r="88" spans="2:15" ht="16.5" customHeight="1" x14ac:dyDescent="0.2">
      <c r="B88" s="7"/>
      <c r="C88" s="8"/>
      <c r="D88" s="8"/>
      <c r="E88" s="8"/>
      <c r="F88" s="8"/>
      <c r="G88" s="10"/>
      <c r="H88" s="10"/>
      <c r="I88" s="10"/>
      <c r="J88" s="30" t="s">
        <v>57</v>
      </c>
      <c r="K88" s="63"/>
      <c r="L88" s="31">
        <v>1190</v>
      </c>
      <c r="M88" s="32"/>
      <c r="N88" s="33">
        <f t="shared" si="1"/>
        <v>0</v>
      </c>
      <c r="O88" s="19"/>
    </row>
    <row r="89" spans="2:15" ht="16.5" customHeight="1" x14ac:dyDescent="0.2">
      <c r="B89" s="7"/>
      <c r="C89" s="8"/>
      <c r="D89" s="8"/>
      <c r="E89" s="8"/>
      <c r="F89" s="8"/>
      <c r="G89" s="10"/>
      <c r="H89" s="10"/>
      <c r="I89" s="10"/>
      <c r="J89" s="30" t="s">
        <v>58</v>
      </c>
      <c r="K89" s="63"/>
      <c r="L89" s="31">
        <v>250</v>
      </c>
      <c r="M89" s="32"/>
      <c r="N89" s="33">
        <f t="shared" si="1"/>
        <v>0</v>
      </c>
      <c r="O89" s="19"/>
    </row>
    <row r="90" spans="2:15" ht="16.5" customHeight="1" x14ac:dyDescent="0.2">
      <c r="B90" s="7"/>
      <c r="C90" s="8"/>
      <c r="D90" s="8"/>
      <c r="E90" s="8"/>
      <c r="F90" s="8"/>
      <c r="G90" s="10"/>
      <c r="H90" s="10"/>
      <c r="I90" s="10"/>
      <c r="J90" s="30" t="s">
        <v>59</v>
      </c>
      <c r="K90" s="63"/>
      <c r="L90" s="31">
        <v>250</v>
      </c>
      <c r="M90" s="32"/>
      <c r="N90" s="33">
        <f t="shared" si="1"/>
        <v>0</v>
      </c>
      <c r="O90" s="19"/>
    </row>
    <row r="91" spans="2:15" ht="16.5" customHeight="1" x14ac:dyDescent="0.2">
      <c r="B91" s="7"/>
      <c r="C91" s="8"/>
      <c r="D91" s="8"/>
      <c r="E91" s="8"/>
      <c r="F91" s="8"/>
      <c r="G91" s="10"/>
      <c r="H91" s="10"/>
      <c r="I91" s="10"/>
      <c r="J91" s="30" t="s">
        <v>60</v>
      </c>
      <c r="K91" s="63"/>
      <c r="L91" s="31">
        <v>1920</v>
      </c>
      <c r="M91" s="32"/>
      <c r="N91" s="33">
        <f t="shared" si="1"/>
        <v>0</v>
      </c>
      <c r="O91" s="19"/>
    </row>
    <row r="92" spans="2:15" ht="16.5" customHeight="1" x14ac:dyDescent="0.2">
      <c r="B92" s="7"/>
      <c r="C92" s="8"/>
      <c r="D92" s="8"/>
      <c r="E92" s="8"/>
      <c r="F92" s="8"/>
      <c r="G92" s="10"/>
      <c r="H92" s="10"/>
      <c r="I92" s="10"/>
      <c r="J92" s="30" t="s">
        <v>61</v>
      </c>
      <c r="K92" s="63"/>
      <c r="L92" s="31">
        <v>2110</v>
      </c>
      <c r="M92" s="32"/>
      <c r="N92" s="33">
        <f t="shared" si="1"/>
        <v>0</v>
      </c>
      <c r="O92" s="19"/>
    </row>
    <row r="93" spans="2:15" ht="16.5" customHeight="1" x14ac:dyDescent="0.2">
      <c r="B93" s="7"/>
      <c r="C93" s="8"/>
      <c r="D93" s="8"/>
      <c r="E93" s="8"/>
      <c r="F93" s="8"/>
      <c r="G93" s="10"/>
      <c r="H93" s="10"/>
      <c r="I93" s="10"/>
      <c r="J93" s="30" t="s">
        <v>62</v>
      </c>
      <c r="K93" s="63"/>
      <c r="L93" s="31">
        <v>1000</v>
      </c>
      <c r="M93" s="32"/>
      <c r="N93" s="33">
        <f t="shared" si="1"/>
        <v>0</v>
      </c>
      <c r="O93" s="19"/>
    </row>
    <row r="94" spans="2:15" ht="16.5" customHeight="1" x14ac:dyDescent="0.2">
      <c r="B94" s="7"/>
      <c r="C94" s="8"/>
      <c r="D94" s="8"/>
      <c r="E94" s="8"/>
      <c r="F94" s="8"/>
      <c r="G94" s="10"/>
      <c r="H94" s="10"/>
      <c r="I94" s="10"/>
      <c r="J94" s="30" t="s">
        <v>63</v>
      </c>
      <c r="K94" s="63"/>
      <c r="L94" s="31">
        <v>768</v>
      </c>
      <c r="M94" s="32"/>
      <c r="N94" s="33">
        <f t="shared" si="1"/>
        <v>0</v>
      </c>
      <c r="O94" s="19"/>
    </row>
    <row r="95" spans="2:15" ht="16.5" customHeight="1" x14ac:dyDescent="0.2">
      <c r="B95" s="7"/>
      <c r="C95" s="8"/>
      <c r="D95" s="8"/>
      <c r="E95" s="8"/>
      <c r="F95" s="8"/>
      <c r="G95" s="10"/>
      <c r="H95" s="10"/>
      <c r="I95" s="10"/>
      <c r="J95" s="30" t="s">
        <v>64</v>
      </c>
      <c r="K95" s="63"/>
      <c r="L95" s="31">
        <v>845</v>
      </c>
      <c r="M95" s="32"/>
      <c r="N95" s="33">
        <f t="shared" si="1"/>
        <v>0</v>
      </c>
      <c r="O95" s="19"/>
    </row>
    <row r="96" spans="2:15" ht="16.5" customHeight="1" x14ac:dyDescent="0.2">
      <c r="B96" s="7"/>
      <c r="C96" s="8"/>
      <c r="D96" s="8"/>
      <c r="E96" s="8"/>
      <c r="F96" s="8"/>
      <c r="G96" s="10"/>
      <c r="H96" s="10"/>
      <c r="I96" s="10"/>
      <c r="J96" s="30" t="s">
        <v>65</v>
      </c>
      <c r="K96" s="63"/>
      <c r="L96" s="31">
        <v>615</v>
      </c>
      <c r="M96" s="32"/>
      <c r="N96" s="33">
        <f t="shared" si="1"/>
        <v>0</v>
      </c>
      <c r="O96" s="19"/>
    </row>
    <row r="97" spans="2:15" ht="16.5" customHeight="1" x14ac:dyDescent="0.2">
      <c r="B97" s="7"/>
      <c r="C97" s="8"/>
      <c r="D97" s="8"/>
      <c r="E97" s="8"/>
      <c r="F97" s="8"/>
      <c r="G97" s="10"/>
      <c r="H97" s="10"/>
      <c r="I97" s="10"/>
      <c r="J97" s="30" t="s">
        <v>66</v>
      </c>
      <c r="K97" s="63"/>
      <c r="L97" s="31">
        <v>680</v>
      </c>
      <c r="M97" s="32"/>
      <c r="N97" s="33">
        <f t="shared" si="1"/>
        <v>0</v>
      </c>
      <c r="O97" s="19"/>
    </row>
    <row r="98" spans="2:15" ht="16.5" customHeight="1" x14ac:dyDescent="0.2">
      <c r="B98" s="7"/>
      <c r="C98" s="8"/>
      <c r="D98" s="8"/>
      <c r="E98" s="8"/>
      <c r="F98" s="8"/>
      <c r="G98" s="10"/>
      <c r="H98" s="10"/>
      <c r="I98" s="10"/>
      <c r="J98" s="30" t="s">
        <v>67</v>
      </c>
      <c r="K98" s="63"/>
      <c r="L98" s="31">
        <v>1920</v>
      </c>
      <c r="M98" s="32"/>
      <c r="N98" s="33">
        <f t="shared" si="1"/>
        <v>0</v>
      </c>
      <c r="O98" s="19"/>
    </row>
    <row r="99" spans="2:15" ht="16.5" customHeight="1" x14ac:dyDescent="0.2">
      <c r="B99" s="7"/>
      <c r="C99" s="8"/>
      <c r="D99" s="8"/>
      <c r="E99" s="8"/>
      <c r="F99" s="8"/>
      <c r="G99" s="10"/>
      <c r="H99" s="10"/>
      <c r="I99" s="10"/>
      <c r="J99" s="30" t="s">
        <v>68</v>
      </c>
      <c r="K99" s="63"/>
      <c r="L99" s="31">
        <v>2110</v>
      </c>
      <c r="M99" s="32"/>
      <c r="N99" s="33">
        <f t="shared" si="1"/>
        <v>0</v>
      </c>
      <c r="O99" s="19"/>
    </row>
    <row r="100" spans="2:15" ht="16.5" customHeight="1" x14ac:dyDescent="0.2">
      <c r="B100" s="7"/>
      <c r="C100" s="8"/>
      <c r="D100" s="8"/>
      <c r="E100" s="8"/>
      <c r="F100" s="8"/>
      <c r="G100" s="10"/>
      <c r="H100" s="10"/>
      <c r="I100" s="10"/>
      <c r="J100" s="30" t="s">
        <v>69</v>
      </c>
      <c r="K100" s="63"/>
      <c r="L100" s="31">
        <v>3070</v>
      </c>
      <c r="M100" s="32"/>
      <c r="N100" s="33">
        <f t="shared" si="1"/>
        <v>0</v>
      </c>
      <c r="O100" s="19"/>
    </row>
    <row r="101" spans="2:15" ht="16.5" customHeight="1" x14ac:dyDescent="0.2">
      <c r="B101" s="7"/>
      <c r="C101" s="8"/>
      <c r="D101" s="8"/>
      <c r="E101" s="8"/>
      <c r="F101" s="8"/>
      <c r="G101" s="10"/>
      <c r="H101" s="10"/>
      <c r="I101" s="10"/>
      <c r="J101" s="30" t="s">
        <v>70</v>
      </c>
      <c r="K101" s="63"/>
      <c r="L101" s="31">
        <v>3380</v>
      </c>
      <c r="M101" s="32"/>
      <c r="N101" s="33">
        <f t="shared" si="1"/>
        <v>0</v>
      </c>
      <c r="O101" s="19"/>
    </row>
    <row r="102" spans="2:15" ht="16.5" customHeight="1" x14ac:dyDescent="0.2">
      <c r="B102" s="7"/>
      <c r="C102" s="8"/>
      <c r="D102" s="8"/>
      <c r="E102" s="8"/>
      <c r="F102" s="8"/>
      <c r="G102" s="10"/>
      <c r="H102" s="10"/>
      <c r="I102" s="10"/>
      <c r="J102" s="30" t="s">
        <v>71</v>
      </c>
      <c r="K102" s="63"/>
      <c r="L102" s="31">
        <v>3840</v>
      </c>
      <c r="M102" s="32"/>
      <c r="N102" s="33">
        <f t="shared" si="1"/>
        <v>0</v>
      </c>
      <c r="O102" s="19"/>
    </row>
    <row r="103" spans="2:15" ht="16.5" customHeight="1" x14ac:dyDescent="0.2">
      <c r="B103" s="7"/>
      <c r="C103" s="8"/>
      <c r="D103" s="8"/>
      <c r="E103" s="8"/>
      <c r="F103" s="8"/>
      <c r="G103" s="10"/>
      <c r="H103" s="10"/>
      <c r="I103" s="10"/>
      <c r="J103" s="30" t="s">
        <v>72</v>
      </c>
      <c r="K103" s="63"/>
      <c r="L103" s="31">
        <v>4220</v>
      </c>
      <c r="M103" s="32"/>
      <c r="N103" s="33">
        <f t="shared" si="1"/>
        <v>0</v>
      </c>
      <c r="O103" s="19"/>
    </row>
    <row r="104" spans="2:15" ht="16.5" customHeight="1" x14ac:dyDescent="0.2">
      <c r="B104" s="7"/>
      <c r="C104" s="8"/>
      <c r="D104" s="8"/>
      <c r="E104" s="8"/>
      <c r="F104" s="8"/>
      <c r="G104" s="10"/>
      <c r="H104" s="10"/>
      <c r="I104" s="10"/>
      <c r="J104" s="30" t="s">
        <v>73</v>
      </c>
      <c r="K104" s="63"/>
      <c r="L104" s="31">
        <v>590</v>
      </c>
      <c r="M104" s="32"/>
      <c r="N104" s="33">
        <f t="shared" si="1"/>
        <v>0</v>
      </c>
      <c r="O104" s="19"/>
    </row>
    <row r="105" spans="2:15" ht="16.5" customHeight="1" x14ac:dyDescent="0.2">
      <c r="B105" s="7"/>
      <c r="C105" s="8"/>
      <c r="D105" s="8"/>
      <c r="E105" s="8"/>
      <c r="F105" s="8"/>
      <c r="G105" s="10"/>
      <c r="H105" s="10"/>
      <c r="I105" s="10"/>
      <c r="J105" s="30" t="s">
        <v>74</v>
      </c>
      <c r="K105" s="63"/>
      <c r="L105" s="31">
        <v>550</v>
      </c>
      <c r="M105" s="32"/>
      <c r="N105" s="33">
        <f t="shared" si="1"/>
        <v>0</v>
      </c>
      <c r="O105" s="19"/>
    </row>
    <row r="106" spans="2:15" ht="16.5" customHeight="1" x14ac:dyDescent="0.2">
      <c r="B106" s="7"/>
      <c r="C106" s="8"/>
      <c r="D106" s="8"/>
      <c r="E106" s="8"/>
      <c r="F106" s="8"/>
      <c r="G106" s="10"/>
      <c r="H106" s="10"/>
      <c r="I106" s="10"/>
      <c r="J106" s="30" t="s">
        <v>75</v>
      </c>
      <c r="K106" s="63"/>
      <c r="L106" s="31">
        <v>320</v>
      </c>
      <c r="M106" s="32"/>
      <c r="N106" s="33">
        <f t="shared" si="1"/>
        <v>0</v>
      </c>
      <c r="O106" s="19"/>
    </row>
    <row r="107" spans="2:15" ht="16.5" customHeight="1" x14ac:dyDescent="0.2">
      <c r="B107" s="7"/>
      <c r="C107" s="8"/>
      <c r="D107" s="8"/>
      <c r="E107" s="8"/>
      <c r="F107" s="8"/>
      <c r="G107" s="10"/>
      <c r="H107" s="10"/>
      <c r="I107" s="10"/>
      <c r="J107" s="30" t="s">
        <v>76</v>
      </c>
      <c r="K107" s="63"/>
      <c r="L107" s="31">
        <v>630</v>
      </c>
      <c r="M107" s="32"/>
      <c r="N107" s="33">
        <f t="shared" si="1"/>
        <v>0</v>
      </c>
      <c r="O107" s="19"/>
    </row>
    <row r="108" spans="2:15" ht="16.5" customHeight="1" x14ac:dyDescent="0.2">
      <c r="B108" s="7"/>
      <c r="C108" s="8"/>
      <c r="D108" s="8"/>
      <c r="E108" s="8"/>
      <c r="F108" s="8"/>
      <c r="G108" s="10"/>
      <c r="H108" s="10"/>
      <c r="I108" s="10"/>
      <c r="J108" s="30" t="s">
        <v>77</v>
      </c>
      <c r="K108" s="63"/>
      <c r="L108" s="31">
        <v>55</v>
      </c>
      <c r="M108" s="32"/>
      <c r="N108" s="33">
        <f t="shared" si="1"/>
        <v>0</v>
      </c>
      <c r="O108" s="19"/>
    </row>
    <row r="109" spans="2:15" ht="16.5" customHeight="1" x14ac:dyDescent="0.2">
      <c r="B109" s="7"/>
      <c r="C109" s="8"/>
      <c r="D109" s="8"/>
      <c r="E109" s="8"/>
      <c r="F109" s="8"/>
      <c r="G109" s="10"/>
      <c r="H109" s="10"/>
      <c r="I109" s="10"/>
      <c r="J109" s="30" t="s">
        <v>78</v>
      </c>
      <c r="K109" s="63"/>
      <c r="L109" s="31">
        <v>327</v>
      </c>
      <c r="M109" s="32"/>
      <c r="N109" s="33">
        <f t="shared" si="1"/>
        <v>0</v>
      </c>
      <c r="O109" s="19"/>
    </row>
    <row r="110" spans="2:15" ht="16.5" customHeight="1" x14ac:dyDescent="0.2">
      <c r="B110" s="7"/>
      <c r="C110" s="8"/>
      <c r="D110" s="8"/>
      <c r="E110" s="8"/>
      <c r="F110" s="8"/>
      <c r="G110" s="10"/>
      <c r="H110" s="10"/>
      <c r="I110" s="10"/>
      <c r="J110" s="30" t="s">
        <v>79</v>
      </c>
      <c r="K110" s="63"/>
      <c r="L110" s="31">
        <v>210</v>
      </c>
      <c r="M110" s="32"/>
      <c r="N110" s="33">
        <f t="shared" si="1"/>
        <v>0</v>
      </c>
      <c r="O110" s="19"/>
    </row>
    <row r="111" spans="2:15" ht="16.5" customHeight="1" x14ac:dyDescent="0.2">
      <c r="B111" s="7"/>
      <c r="C111" s="8"/>
      <c r="D111" s="8"/>
      <c r="E111" s="8"/>
      <c r="F111" s="8"/>
      <c r="G111" s="10"/>
      <c r="H111" s="10"/>
      <c r="I111" s="10"/>
      <c r="J111" s="30" t="s">
        <v>130</v>
      </c>
      <c r="K111" s="63"/>
      <c r="L111" s="31">
        <v>80</v>
      </c>
      <c r="M111" s="32"/>
      <c r="N111" s="33">
        <f t="shared" si="1"/>
        <v>0</v>
      </c>
      <c r="O111" s="19"/>
    </row>
    <row r="112" spans="2:15" ht="16.5" customHeight="1" x14ac:dyDescent="0.2">
      <c r="B112" s="7"/>
      <c r="C112" s="8"/>
      <c r="D112" s="8"/>
      <c r="E112" s="8"/>
      <c r="F112" s="8"/>
      <c r="G112" s="10"/>
      <c r="H112" s="10"/>
      <c r="I112" s="10"/>
      <c r="J112" s="30" t="s">
        <v>80</v>
      </c>
      <c r="K112" s="63"/>
      <c r="L112" s="31">
        <v>440</v>
      </c>
      <c r="M112" s="32"/>
      <c r="N112" s="33">
        <f t="shared" si="1"/>
        <v>0</v>
      </c>
      <c r="O112" s="19"/>
    </row>
    <row r="113" spans="2:15" ht="16.5" customHeight="1" x14ac:dyDescent="0.2">
      <c r="B113" s="7"/>
      <c r="C113" s="8"/>
      <c r="D113" s="8"/>
      <c r="E113" s="8"/>
      <c r="F113" s="8"/>
      <c r="G113" s="10"/>
      <c r="H113" s="10"/>
      <c r="I113" s="10"/>
      <c r="J113" s="30" t="s">
        <v>81</v>
      </c>
      <c r="K113" s="63"/>
      <c r="L113" s="31">
        <v>120</v>
      </c>
      <c r="M113" s="32"/>
      <c r="N113" s="33">
        <f t="shared" si="1"/>
        <v>0</v>
      </c>
      <c r="O113" s="19"/>
    </row>
    <row r="114" spans="2:15" ht="16.5" customHeight="1" x14ac:dyDescent="0.2">
      <c r="B114" s="7"/>
      <c r="C114" s="8"/>
      <c r="D114" s="8"/>
      <c r="E114" s="8"/>
      <c r="F114" s="8"/>
      <c r="G114" s="10"/>
      <c r="H114" s="10"/>
      <c r="I114" s="10"/>
      <c r="J114" s="46" t="s">
        <v>104</v>
      </c>
      <c r="K114" s="82" t="str">
        <f>IF(AND(L10=2, SUM(K15:K17)&gt;0), 1, "")</f>
        <v/>
      </c>
      <c r="L114" s="44" t="s">
        <v>96</v>
      </c>
      <c r="M114" s="32"/>
      <c r="N114" s="33">
        <f>IF(K114=1, SUM(N107:N113), )</f>
        <v>0</v>
      </c>
      <c r="O114" s="19"/>
    </row>
    <row r="115" spans="2:15" ht="25.5" customHeight="1" x14ac:dyDescent="0.2">
      <c r="B115" s="7"/>
      <c r="C115" s="8"/>
      <c r="D115" s="8"/>
      <c r="E115" s="8"/>
      <c r="F115" s="8"/>
      <c r="G115" s="14"/>
      <c r="H115" s="14"/>
      <c r="I115" s="14"/>
      <c r="J115" s="15"/>
      <c r="K115" s="16"/>
      <c r="L115" s="17"/>
      <c r="M115" s="17"/>
      <c r="N115" s="18"/>
      <c r="O115" s="19"/>
    </row>
    <row r="116" spans="2:15" ht="20.25" x14ac:dyDescent="0.25">
      <c r="B116" s="7"/>
      <c r="C116" s="8"/>
      <c r="D116" s="8"/>
      <c r="E116" s="8"/>
      <c r="F116" s="8"/>
      <c r="J116" s="20" t="s">
        <v>5</v>
      </c>
      <c r="K116" s="21"/>
      <c r="L116" s="95">
        <f>SUM(N29:N114)</f>
        <v>0</v>
      </c>
      <c r="M116" s="95"/>
      <c r="N116" s="95"/>
      <c r="O116" s="19"/>
    </row>
    <row r="117" spans="2:15" ht="25.5" customHeight="1" thickBot="1" x14ac:dyDescent="0.25"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3"/>
      <c r="N117" s="23"/>
      <c r="O117" s="36"/>
    </row>
  </sheetData>
  <sheetProtection algorithmName="SHA-512" hashValue="HmSh0IXjwXeqpOJD7NlaJ+pLk/nP6jH1/eKmgKowWMj7YMLcGvXeaWlJPi9zkdsz140nPIdKTe1Ol6vj+STFng==" saltValue="lYi+Ma0djSI3vgmwgQ33Dw==" spinCount="100000" sheet="1" objects="1" scenarios="1"/>
  <dataConsolidate/>
  <mergeCells count="11">
    <mergeCell ref="L116:N116"/>
    <mergeCell ref="B8:O8"/>
    <mergeCell ref="C51:J52"/>
    <mergeCell ref="K51:K52"/>
    <mergeCell ref="L51:L52"/>
    <mergeCell ref="N51:N52"/>
    <mergeCell ref="L19:N20"/>
    <mergeCell ref="J21:K21"/>
    <mergeCell ref="J23:K23"/>
    <mergeCell ref="J26:K26"/>
    <mergeCell ref="J24:K24"/>
  </mergeCells>
  <phoneticPr fontId="0" type="noConversion"/>
  <conditionalFormatting sqref="K19">
    <cfRule type="expression" dxfId="1" priority="1" stopIfTrue="1">
      <formula>$K$19&lt;SUM($K$15:$K$17)</formula>
    </cfRule>
    <cfRule type="expression" dxfId="0" priority="2" stopIfTrue="1">
      <formula>$K$19&gt;SUM($K$15:$K$17)</formula>
    </cfRule>
  </conditionalFormatting>
  <dataValidations count="2">
    <dataValidation type="whole" showInputMessage="1" showErrorMessage="1" sqref="L10" xr:uid="{2C8CA6AE-9206-43B1-A03C-7C52D55B11B4}">
      <formula1>1</formula1>
      <formula2>3</formula2>
    </dataValidation>
    <dataValidation type="whole" showInputMessage="1" showErrorMessage="1" sqref="L12" xr:uid="{B02ED0EB-CA8F-456F-A482-DA38D575EB3C}">
      <formula1>1</formula1>
      <formula2>2</formula2>
    </dataValidation>
  </dataValidations>
  <printOptions horizontalCentered="1"/>
  <pageMargins left="7.874015748031496E-2" right="7.874015748031496E-2" top="0.19685039370078741" bottom="0.19685039370078741" header="0.31496062992125984" footer="0.31496062992125984"/>
  <pageSetup paperSize="9" scale="7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1" r:id="rId4" name="Drop Down 7">
              <controlPr defaultSize="0" autoLine="0" autoPict="0">
                <anchor moveWithCells="1">
                  <from>
                    <xdr:col>6</xdr:col>
                    <xdr:colOff>57150</xdr:colOff>
                    <xdr:row>9</xdr:row>
                    <xdr:rowOff>57150</xdr:rowOff>
                  </from>
                  <to>
                    <xdr:col>9</xdr:col>
                    <xdr:colOff>1428750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5" name="Drop Down 8">
              <controlPr defaultSize="0" autoLine="0" autoPict="0">
                <anchor moveWithCells="1">
                  <from>
                    <xdr:col>6</xdr:col>
                    <xdr:colOff>66675</xdr:colOff>
                    <xdr:row>11</xdr:row>
                    <xdr:rowOff>57150</xdr:rowOff>
                  </from>
                  <to>
                    <xdr:col>9</xdr:col>
                    <xdr:colOff>1438275</xdr:colOff>
                    <xdr:row>11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B217-E963-407F-A45E-DAAC2F460BBD}">
  <sheetPr>
    <pageSetUpPr fitToPage="1"/>
  </sheetPr>
  <dimension ref="A1:Q98"/>
  <sheetViews>
    <sheetView showGridLines="0" zoomScaleNormal="100" workbookViewId="0">
      <selection activeCell="T84" sqref="T84"/>
    </sheetView>
  </sheetViews>
  <sheetFormatPr defaultColWidth="9.140625" defaultRowHeight="12.75" x14ac:dyDescent="0.2"/>
  <cols>
    <col min="1" max="1" width="2.7109375" style="2" customWidth="1"/>
    <col min="2" max="2" width="9.42578125" style="2" customWidth="1"/>
    <col min="3" max="3" width="10.85546875" style="2" customWidth="1"/>
    <col min="4" max="4" width="14.28515625" style="2" customWidth="1"/>
    <col min="5" max="5" width="12.140625" style="2" customWidth="1"/>
    <col min="6" max="6" width="8.5703125" style="2" customWidth="1"/>
    <col min="7" max="7" width="14.85546875" style="1" customWidth="1"/>
    <col min="8" max="8" width="3.5703125" style="1" bestFit="1" customWidth="1"/>
    <col min="9" max="9" width="1" style="1" customWidth="1"/>
    <col min="10" max="10" width="22.28515625" style="1" customWidth="1"/>
    <col min="11" max="11" width="8" style="1" customWidth="1"/>
    <col min="12" max="12" width="11" style="1" customWidth="1"/>
    <col min="13" max="13" width="0.85546875" style="1" customWidth="1"/>
    <col min="14" max="14" width="24.5703125" style="1" customWidth="1"/>
    <col min="15" max="15" width="3.7109375" style="2" customWidth="1"/>
    <col min="16" max="17" width="9.140625" style="2"/>
    <col min="18" max="18" width="13.28515625" style="2" bestFit="1" customWidth="1"/>
    <col min="19" max="19" width="14.5703125" style="2" bestFit="1" customWidth="1"/>
    <col min="20" max="16384" width="9.140625" style="2"/>
  </cols>
  <sheetData>
    <row r="1" spans="1:17" ht="13.5" thickBot="1" x14ac:dyDescent="0.25"/>
    <row r="2" spans="1:17" ht="20.2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5"/>
    </row>
    <row r="3" spans="1:17" ht="15" customHeight="1" x14ac:dyDescent="0.2">
      <c r="B3" s="5"/>
      <c r="C3" s="1"/>
      <c r="D3" s="1"/>
      <c r="E3" s="1"/>
      <c r="F3" s="1"/>
      <c r="O3" s="19"/>
    </row>
    <row r="4" spans="1:17" ht="15" customHeight="1" x14ac:dyDescent="0.2">
      <c r="B4" s="5"/>
      <c r="C4" s="1"/>
      <c r="D4" s="1"/>
      <c r="E4" s="1"/>
      <c r="F4" s="1"/>
      <c r="O4" s="19"/>
    </row>
    <row r="5" spans="1:17" ht="15" customHeight="1" x14ac:dyDescent="0.2">
      <c r="B5" s="37"/>
      <c r="C5" s="49"/>
      <c r="D5" s="49"/>
      <c r="E5" s="49"/>
      <c r="F5" s="49"/>
      <c r="O5" s="19"/>
    </row>
    <row r="6" spans="1:17" ht="15" customHeight="1" x14ac:dyDescent="0.2">
      <c r="B6" s="5"/>
      <c r="C6" s="1"/>
      <c r="D6" s="1"/>
      <c r="E6" s="1"/>
      <c r="F6" s="1"/>
      <c r="O6" s="19"/>
    </row>
    <row r="7" spans="1:17" ht="20.25" customHeight="1" x14ac:dyDescent="0.2">
      <c r="B7" s="5"/>
      <c r="C7" s="1"/>
      <c r="D7" s="1"/>
      <c r="E7" s="1"/>
      <c r="F7" s="1"/>
      <c r="O7" s="34"/>
    </row>
    <row r="8" spans="1:17" ht="29.25" customHeight="1" x14ac:dyDescent="0.2">
      <c r="A8" s="19"/>
      <c r="B8" s="96" t="s">
        <v>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</row>
    <row r="9" spans="1:17" ht="18" customHeight="1" x14ac:dyDescent="0.2">
      <c r="B9" s="7"/>
      <c r="C9" s="8"/>
      <c r="D9" s="8"/>
      <c r="E9" s="8"/>
      <c r="F9" s="8"/>
      <c r="K9" s="76"/>
      <c r="L9" s="67"/>
      <c r="M9" s="67"/>
      <c r="N9" s="67"/>
      <c r="O9" s="55"/>
    </row>
    <row r="10" spans="1:17" s="6" customFormat="1" ht="30.75" customHeight="1" x14ac:dyDescent="0.25">
      <c r="B10" s="7"/>
      <c r="C10" s="8"/>
      <c r="D10" s="8"/>
      <c r="E10" s="8"/>
      <c r="F10" s="57" t="s">
        <v>6</v>
      </c>
      <c r="G10" s="27"/>
      <c r="H10" s="28"/>
      <c r="I10" s="28"/>
      <c r="J10" s="29"/>
      <c r="K10" s="85"/>
      <c r="L10" s="90">
        <v>1</v>
      </c>
      <c r="M10" s="26"/>
      <c r="N10" s="68" t="s">
        <v>82</v>
      </c>
      <c r="O10" s="55"/>
      <c r="P10" s="26"/>
      <c r="Q10" s="26"/>
    </row>
    <row r="11" spans="1:17" s="6" customFormat="1" ht="18" customHeight="1" x14ac:dyDescent="0.25">
      <c r="B11" s="38"/>
      <c r="C11" s="50"/>
      <c r="D11" s="50"/>
      <c r="E11" s="50"/>
      <c r="F11" s="50"/>
      <c r="G11" s="39"/>
      <c r="H11" s="39"/>
      <c r="I11" s="39"/>
      <c r="J11" s="40"/>
      <c r="K11" s="86"/>
      <c r="L11" s="77"/>
      <c r="M11" s="26"/>
      <c r="N11" s="78" t="s">
        <v>7</v>
      </c>
      <c r="O11" s="58"/>
      <c r="P11" s="26"/>
      <c r="Q11" s="26"/>
    </row>
    <row r="12" spans="1:17" s="6" customFormat="1" ht="30.75" customHeight="1" x14ac:dyDescent="0.25">
      <c r="B12" s="38"/>
      <c r="C12" s="50"/>
      <c r="D12" s="50"/>
      <c r="E12" s="50"/>
      <c r="F12" s="57" t="s">
        <v>88</v>
      </c>
      <c r="G12" s="27"/>
      <c r="H12" s="28"/>
      <c r="I12" s="28"/>
      <c r="J12" s="29"/>
      <c r="K12" s="85"/>
      <c r="L12" s="91">
        <v>1</v>
      </c>
      <c r="M12" s="26"/>
      <c r="N12" s="69" t="s">
        <v>103</v>
      </c>
      <c r="O12" s="41"/>
      <c r="P12" s="26"/>
      <c r="Q12" s="26"/>
    </row>
    <row r="13" spans="1:17" s="6" customFormat="1" ht="18" customHeight="1" x14ac:dyDescent="0.25">
      <c r="B13" s="38"/>
      <c r="C13" s="50"/>
      <c r="D13" s="50"/>
      <c r="E13" s="50"/>
      <c r="F13" s="50"/>
      <c r="G13" s="39"/>
      <c r="H13" s="39"/>
      <c r="I13" s="39"/>
      <c r="J13" s="40"/>
      <c r="K13" s="86"/>
      <c r="L13" s="77"/>
      <c r="M13" s="71"/>
      <c r="N13" s="70" t="s">
        <v>86</v>
      </c>
      <c r="O13" s="41"/>
      <c r="P13" s="26"/>
      <c r="Q13" s="26"/>
    </row>
    <row r="14" spans="1:17" ht="30.75" customHeight="1" x14ac:dyDescent="0.25">
      <c r="B14" s="7"/>
      <c r="C14" s="8"/>
      <c r="D14" s="8"/>
      <c r="E14" s="50"/>
      <c r="F14" s="57" t="s">
        <v>142</v>
      </c>
      <c r="G14" s="27"/>
      <c r="H14" s="28"/>
      <c r="I14" s="28"/>
      <c r="J14" s="29"/>
      <c r="K14" s="76"/>
      <c r="L14" s="71"/>
      <c r="M14" s="67"/>
      <c r="N14" s="70" t="s">
        <v>87</v>
      </c>
      <c r="O14" s="41"/>
    </row>
    <row r="15" spans="1:17" ht="16.5" customHeight="1" x14ac:dyDescent="0.2">
      <c r="B15" s="7"/>
      <c r="C15" s="8"/>
      <c r="D15" s="8"/>
      <c r="E15" s="8"/>
      <c r="F15" s="8"/>
      <c r="I15" s="30"/>
      <c r="K15" s="76"/>
      <c r="L15" s="92">
        <v>1</v>
      </c>
      <c r="M15" s="72"/>
      <c r="N15" s="79" t="s">
        <v>144</v>
      </c>
      <c r="O15" s="41"/>
    </row>
    <row r="16" spans="1:17" ht="16.5" customHeight="1" x14ac:dyDescent="0.2">
      <c r="B16" s="7"/>
      <c r="C16" s="8"/>
      <c r="D16" s="8"/>
      <c r="E16" s="8"/>
      <c r="F16" s="8"/>
      <c r="I16" s="30"/>
      <c r="J16" s="30"/>
      <c r="K16" s="76"/>
      <c r="L16" s="80"/>
      <c r="M16" s="81"/>
      <c r="N16" s="79" t="s">
        <v>143</v>
      </c>
      <c r="O16" s="41"/>
    </row>
    <row r="17" spans="2:15" ht="3" customHeight="1" x14ac:dyDescent="0.2">
      <c r="B17" s="7"/>
      <c r="C17" s="8"/>
      <c r="D17" s="8"/>
      <c r="E17" s="8"/>
      <c r="F17" s="8"/>
      <c r="J17" s="8"/>
      <c r="K17" s="9"/>
      <c r="L17" s="71"/>
      <c r="M17" s="71"/>
      <c r="N17" s="71"/>
      <c r="O17" s="43"/>
    </row>
    <row r="18" spans="2:15" ht="19.5" customHeight="1" x14ac:dyDescent="0.2">
      <c r="B18" s="7"/>
      <c r="C18" s="8"/>
      <c r="D18" s="8"/>
      <c r="E18" s="8"/>
      <c r="F18" s="8"/>
      <c r="J18" s="62" t="s">
        <v>139</v>
      </c>
      <c r="K18" s="65"/>
      <c r="L18" s="118" t="str">
        <f>IF(SUM(K18:K19)&gt;0, IF(AND(K18&lt;&gt;"", K19&lt;&gt;""), "", "Preencha os dois campos!"), "")</f>
        <v/>
      </c>
      <c r="M18" s="119"/>
      <c r="N18" s="119"/>
      <c r="O18" s="41"/>
    </row>
    <row r="19" spans="2:15" ht="19.5" customHeight="1" x14ac:dyDescent="0.2">
      <c r="B19" s="7"/>
      <c r="C19" s="8"/>
      <c r="D19" s="8"/>
      <c r="E19" s="8"/>
      <c r="F19" s="8"/>
      <c r="J19" s="62" t="s">
        <v>140</v>
      </c>
      <c r="K19" s="65"/>
      <c r="L19" s="118"/>
      <c r="M19" s="119"/>
      <c r="N19" s="119"/>
      <c r="O19" s="41"/>
    </row>
    <row r="20" spans="2:15" ht="15.75" x14ac:dyDescent="0.2">
      <c r="B20" s="7"/>
      <c r="C20" s="8"/>
      <c r="D20" s="8"/>
      <c r="E20" s="8"/>
      <c r="F20" s="8"/>
      <c r="J20" s="25"/>
      <c r="L20" s="76"/>
      <c r="M20" s="76"/>
      <c r="N20" s="42"/>
      <c r="O20" s="41"/>
    </row>
    <row r="21" spans="2:15" ht="19.5" customHeight="1" x14ac:dyDescent="0.2">
      <c r="B21" s="7"/>
      <c r="C21" s="8"/>
      <c r="D21" s="8"/>
      <c r="E21" s="8"/>
      <c r="F21" s="8"/>
      <c r="H21" s="25" t="s">
        <v>8</v>
      </c>
      <c r="I21" s="2"/>
      <c r="J21" s="116"/>
      <c r="K21" s="117"/>
      <c r="L21" s="76"/>
      <c r="M21" s="76"/>
      <c r="N21" s="42"/>
      <c r="O21" s="41"/>
    </row>
    <row r="22" spans="2:15" ht="14.1" customHeight="1" x14ac:dyDescent="0.2">
      <c r="B22" s="7"/>
      <c r="C22" s="8"/>
      <c r="D22" s="8"/>
      <c r="E22" s="8"/>
      <c r="F22" s="8"/>
      <c r="L22" s="76"/>
      <c r="M22" s="76"/>
      <c r="N22" s="42"/>
      <c r="O22" s="41"/>
    </row>
    <row r="23" spans="2:15" ht="19.5" customHeight="1" x14ac:dyDescent="0.2">
      <c r="B23" s="7"/>
      <c r="C23" s="8"/>
      <c r="D23" s="8"/>
      <c r="E23" s="8"/>
      <c r="F23" s="8"/>
      <c r="H23" s="25" t="s">
        <v>4</v>
      </c>
      <c r="I23" s="2"/>
      <c r="J23" s="107"/>
      <c r="K23" s="107"/>
      <c r="L23" s="76"/>
      <c r="M23" s="76"/>
      <c r="N23" s="42"/>
      <c r="O23" s="41"/>
    </row>
    <row r="24" spans="2:15" ht="19.5" customHeight="1" x14ac:dyDescent="0.2">
      <c r="B24" s="7"/>
      <c r="C24" s="8"/>
      <c r="D24" s="8"/>
      <c r="E24" s="8"/>
      <c r="F24" s="8"/>
      <c r="H24" s="25" t="s">
        <v>3</v>
      </c>
      <c r="I24" s="2"/>
      <c r="J24" s="107"/>
      <c r="K24" s="107"/>
      <c r="L24" s="76"/>
      <c r="M24" s="76"/>
      <c r="N24" s="42"/>
      <c r="O24" s="41"/>
    </row>
    <row r="25" spans="2:15" ht="14.1" customHeight="1" x14ac:dyDescent="0.2">
      <c r="B25" s="7"/>
      <c r="C25" s="8"/>
      <c r="D25" s="8"/>
      <c r="E25" s="8"/>
      <c r="F25" s="8"/>
      <c r="K25" s="13"/>
      <c r="N25" s="42"/>
      <c r="O25" s="41"/>
    </row>
    <row r="26" spans="2:15" ht="19.5" customHeight="1" x14ac:dyDescent="0.2">
      <c r="B26" s="7"/>
      <c r="C26" s="8"/>
      <c r="D26" s="8"/>
      <c r="E26" s="8"/>
      <c r="F26" s="8"/>
      <c r="H26" s="12" t="s">
        <v>1</v>
      </c>
      <c r="I26" s="2"/>
      <c r="J26" s="108">
        <f>IF(OR(J24="",J23="",J23&gt;J24),0,J24-J23+1)</f>
        <v>0</v>
      </c>
      <c r="K26" s="108"/>
      <c r="N26" s="42"/>
      <c r="O26" s="41"/>
    </row>
    <row r="27" spans="2:15" ht="11.25" customHeight="1" x14ac:dyDescent="0.2">
      <c r="B27" s="7"/>
      <c r="C27" s="8"/>
      <c r="D27" s="8"/>
      <c r="E27" s="8"/>
      <c r="F27" s="8"/>
      <c r="J27" s="25"/>
      <c r="N27" s="42"/>
      <c r="O27" s="41"/>
    </row>
    <row r="28" spans="2:15" x14ac:dyDescent="0.2">
      <c r="B28" s="7"/>
      <c r="C28" s="8"/>
      <c r="D28" s="8"/>
      <c r="E28" s="8"/>
      <c r="F28" s="8"/>
      <c r="J28" s="8"/>
      <c r="K28" s="9" t="s">
        <v>2</v>
      </c>
      <c r="L28" s="9" t="s">
        <v>0</v>
      </c>
      <c r="M28" s="9"/>
      <c r="N28" s="9" t="s">
        <v>1</v>
      </c>
      <c r="O28" s="41"/>
    </row>
    <row r="29" spans="2:15" ht="14.1" customHeight="1" x14ac:dyDescent="0.2">
      <c r="B29" s="7"/>
      <c r="C29" s="99" t="s">
        <v>112</v>
      </c>
      <c r="D29" s="99"/>
      <c r="E29" s="99"/>
      <c r="F29" s="99"/>
      <c r="G29" s="99"/>
      <c r="H29" s="99"/>
      <c r="I29" s="99"/>
      <c r="J29" s="100"/>
      <c r="K29" s="101" t="str">
        <f>IF(AND(L12=2, L15=1), IF(AND(K18&lt;&gt;"", K19&lt;&gt;""), IF((MAX(K18:K19) * 125) &gt; 625, MAX(K18:K19), 1), ""), "")</f>
        <v/>
      </c>
      <c r="L29" s="103">
        <f>IF(L12=2, IF(OR(K18&lt;&gt;"", K19&lt;&gt;""), IF((MAX(K18:K19) * 125) &gt; 625, 125, 625), ""), 625)</f>
        <v>625</v>
      </c>
      <c r="M29" s="32"/>
      <c r="N29" s="104">
        <f>IF(AND(L12=2, L15=1), IF(AND(K18&lt;&gt;"", K19&lt;&gt;""), IF((MAX(K18:K19) * 125) &gt; 625, MAX(K18:K19)*125, 625), ), )</f>
        <v>0</v>
      </c>
      <c r="O29" s="43"/>
    </row>
    <row r="30" spans="2:15" ht="14.1" customHeight="1" x14ac:dyDescent="0.2">
      <c r="B30" s="7"/>
      <c r="C30" s="99"/>
      <c r="D30" s="99"/>
      <c r="E30" s="99"/>
      <c r="F30" s="99"/>
      <c r="G30" s="99"/>
      <c r="H30" s="99"/>
      <c r="I30" s="99"/>
      <c r="J30" s="100"/>
      <c r="K30" s="102"/>
      <c r="L30" s="103"/>
      <c r="M30" s="32"/>
      <c r="N30" s="104"/>
      <c r="O30" s="43"/>
    </row>
    <row r="31" spans="2:15" ht="14.1" customHeight="1" x14ac:dyDescent="0.2">
      <c r="B31" s="7"/>
      <c r="C31" s="99" t="s">
        <v>113</v>
      </c>
      <c r="D31" s="99"/>
      <c r="E31" s="99"/>
      <c r="F31" s="99"/>
      <c r="G31" s="99"/>
      <c r="H31" s="99"/>
      <c r="I31" s="99"/>
      <c r="J31" s="100"/>
      <c r="K31" s="101" t="str">
        <f>IF(AND(L12=1, L15=1), IF(AND(K18&lt;&gt;"", K19&lt;&gt;""), IF((MAX(K18:K19) * 188) &gt; 938, MAX(K18:K19), 1), ""), "")</f>
        <v/>
      </c>
      <c r="L31" s="103">
        <f>IF(L12=1, IF(OR(K18&lt;&gt;"", K19&lt;&gt;""), IF((MAX(K18:K19) * 188) &gt; 938, 188, 938), 938), 938)</f>
        <v>938</v>
      </c>
      <c r="M31" s="32"/>
      <c r="N31" s="104">
        <f>IF(AND(L12=1, L15=1), IF(AND(K18&lt;&gt;"", K19&lt;&gt;""), IF((MAX(K18:K19) * 188) &gt; 938, MAX(K18:K19) * 188, 938), ), )</f>
        <v>0</v>
      </c>
      <c r="O31" s="43"/>
    </row>
    <row r="32" spans="2:15" ht="14.1" customHeight="1" x14ac:dyDescent="0.2">
      <c r="B32" s="7"/>
      <c r="C32" s="99"/>
      <c r="D32" s="99"/>
      <c r="E32" s="99"/>
      <c r="F32" s="99"/>
      <c r="G32" s="99"/>
      <c r="H32" s="99"/>
      <c r="I32" s="99"/>
      <c r="J32" s="100"/>
      <c r="K32" s="102"/>
      <c r="L32" s="103"/>
      <c r="M32" s="32"/>
      <c r="N32" s="104"/>
      <c r="O32" s="43"/>
    </row>
    <row r="33" spans="2:15" ht="16.5" customHeight="1" x14ac:dyDescent="0.2">
      <c r="B33" s="7"/>
      <c r="C33" s="8"/>
      <c r="D33" s="8"/>
      <c r="E33" s="8"/>
      <c r="F33" s="8"/>
      <c r="G33" s="10"/>
      <c r="H33" s="10"/>
      <c r="I33" s="10"/>
      <c r="J33" s="30" t="s">
        <v>109</v>
      </c>
      <c r="K33" s="63"/>
      <c r="L33" s="31">
        <v>1875</v>
      </c>
      <c r="M33" s="32"/>
      <c r="N33" s="33">
        <f>IF(AND(L15=2, L12=2), K33*L33, )</f>
        <v>0</v>
      </c>
      <c r="O33" s="60"/>
    </row>
    <row r="34" spans="2:15" ht="16.5" customHeight="1" x14ac:dyDescent="0.2">
      <c r="B34" s="7"/>
      <c r="C34" s="8"/>
      <c r="D34" s="8"/>
      <c r="E34" s="8"/>
      <c r="F34" s="8"/>
      <c r="G34" s="10"/>
      <c r="H34" s="10"/>
      <c r="I34" s="10"/>
      <c r="J34" s="46" t="s">
        <v>110</v>
      </c>
      <c r="K34" s="63"/>
      <c r="L34" s="31">
        <v>2813</v>
      </c>
      <c r="M34" s="32"/>
      <c r="N34" s="33">
        <f>IF(AND(L15=2, L12=1), K34*L34, )</f>
        <v>0</v>
      </c>
      <c r="O34" s="60"/>
    </row>
    <row r="35" spans="2:15" ht="16.5" customHeight="1" x14ac:dyDescent="0.2">
      <c r="B35" s="7"/>
      <c r="C35" s="8"/>
      <c r="D35" s="8"/>
      <c r="E35" s="8"/>
      <c r="F35" s="8"/>
      <c r="G35" s="10"/>
      <c r="H35" s="10"/>
      <c r="I35" s="10"/>
      <c r="J35" s="30" t="s">
        <v>11</v>
      </c>
      <c r="K35" s="82" t="str">
        <f>IF(AND(K18&lt;&gt;"", K19&lt;&gt;""), 1, "")</f>
        <v/>
      </c>
      <c r="L35" s="31">
        <v>370</v>
      </c>
      <c r="M35" s="32"/>
      <c r="N35" s="33">
        <f>IF(K35&lt;&gt;"", K35*L35, )</f>
        <v>0</v>
      </c>
      <c r="O35" s="41"/>
    </row>
    <row r="36" spans="2:15" ht="16.5" customHeight="1" x14ac:dyDescent="0.2">
      <c r="B36" s="7"/>
      <c r="C36" s="8"/>
      <c r="D36" s="8"/>
      <c r="E36" s="8"/>
      <c r="F36" s="8"/>
      <c r="G36" s="10"/>
      <c r="H36" s="10"/>
      <c r="I36" s="10"/>
      <c r="J36" s="30" t="s">
        <v>12</v>
      </c>
      <c r="K36" s="82" t="str">
        <f>IF(AND(K18&lt;&gt;"", K19&lt;&gt;""), 1, "")</f>
        <v/>
      </c>
      <c r="L36" s="31">
        <v>370</v>
      </c>
      <c r="M36" s="32"/>
      <c r="N36" s="33">
        <f>IF(K36&lt;&gt;"", K36*L36, )</f>
        <v>0</v>
      </c>
      <c r="O36" s="41"/>
    </row>
    <row r="37" spans="2:15" ht="16.5" customHeight="1" x14ac:dyDescent="0.2">
      <c r="B37" s="7"/>
      <c r="C37" s="8"/>
      <c r="D37" s="8"/>
      <c r="E37" s="8"/>
      <c r="F37" s="8"/>
      <c r="G37" s="10"/>
      <c r="H37" s="10"/>
      <c r="I37" s="10"/>
      <c r="J37" s="30" t="s">
        <v>90</v>
      </c>
      <c r="K37" s="82" t="str">
        <f>IF(AND(K18&lt;&gt;"", K19&lt;&gt;"", L15=2), 1, "")</f>
        <v/>
      </c>
      <c r="L37" s="44" t="s">
        <v>93</v>
      </c>
      <c r="M37" s="32"/>
      <c r="N37" s="33">
        <f>IF(K37=1, L37*J21, )</f>
        <v>0</v>
      </c>
      <c r="O37" s="41"/>
    </row>
    <row r="38" spans="2:15" ht="16.5" customHeight="1" x14ac:dyDescent="0.2">
      <c r="B38" s="7"/>
      <c r="C38" s="8"/>
      <c r="D38" s="8"/>
      <c r="E38" s="8"/>
      <c r="F38" s="8"/>
      <c r="G38" s="10"/>
      <c r="H38" s="10"/>
      <c r="I38" s="10"/>
      <c r="J38" s="30" t="s">
        <v>92</v>
      </c>
      <c r="K38" s="82" t="str">
        <f>IF(AND(J21&lt;&gt;"", K18&lt;&gt;"", K19&lt;&gt;""), 1, "")</f>
        <v/>
      </c>
      <c r="L38" s="44" t="s">
        <v>95</v>
      </c>
      <c r="M38" s="32"/>
      <c r="N38" s="33">
        <f>IF(K38=1, L38*J21, )</f>
        <v>0</v>
      </c>
      <c r="O38" s="41"/>
    </row>
    <row r="39" spans="2:15" ht="16.5" customHeight="1" x14ac:dyDescent="0.2">
      <c r="B39" s="7"/>
      <c r="C39" s="8"/>
      <c r="D39" s="8"/>
      <c r="E39" s="8"/>
      <c r="F39" s="8"/>
      <c r="G39" s="10"/>
      <c r="H39" s="10"/>
      <c r="I39" s="10"/>
      <c r="J39" s="30" t="s">
        <v>111</v>
      </c>
      <c r="K39" s="82" t="str">
        <f>IF(AND(K18&lt;&gt;"", K19&lt;&gt;""), 1, "")</f>
        <v/>
      </c>
      <c r="L39" s="31">
        <v>240</v>
      </c>
      <c r="M39" s="32"/>
      <c r="N39" s="33">
        <f>IF(K39&lt;&gt;"", K39*L39, )</f>
        <v>0</v>
      </c>
      <c r="O39" s="43"/>
    </row>
    <row r="40" spans="2:15" ht="16.5" customHeight="1" x14ac:dyDescent="0.2">
      <c r="B40" s="7"/>
      <c r="C40" s="8"/>
      <c r="D40" s="8"/>
      <c r="E40" s="8"/>
      <c r="F40" s="8"/>
      <c r="G40" s="10"/>
      <c r="H40" s="10"/>
      <c r="I40" s="10"/>
      <c r="J40" s="30" t="s">
        <v>17</v>
      </c>
      <c r="K40" s="82" t="str">
        <f>IF(AND(K18&lt;&gt;"", K19&lt;&gt;""), 1, "")</f>
        <v/>
      </c>
      <c r="L40" s="31">
        <v>100</v>
      </c>
      <c r="M40" s="32"/>
      <c r="N40" s="33">
        <f>IF(K40&lt;&gt;"", K40*L40, )</f>
        <v>0</v>
      </c>
      <c r="O40" s="43"/>
    </row>
    <row r="41" spans="2:15" ht="16.5" customHeight="1" x14ac:dyDescent="0.2">
      <c r="B41" s="7"/>
      <c r="C41" s="8"/>
      <c r="D41" s="8"/>
      <c r="E41" s="8"/>
      <c r="F41" s="8"/>
      <c r="G41" s="10"/>
      <c r="H41" s="10"/>
      <c r="I41" s="10"/>
      <c r="J41" s="30" t="s">
        <v>19</v>
      </c>
      <c r="K41" s="82" t="str">
        <f>IF(AND(K18&lt;&gt;"", K19&lt;&gt;""), 1, "")</f>
        <v/>
      </c>
      <c r="L41" s="31">
        <v>295</v>
      </c>
      <c r="M41" s="32"/>
      <c r="N41" s="33">
        <f>IF(K41&lt;&gt;"", K41*L41, )</f>
        <v>0</v>
      </c>
      <c r="O41" s="43"/>
    </row>
    <row r="42" spans="2:15" ht="14.1" customHeight="1" x14ac:dyDescent="0.2">
      <c r="B42" s="7"/>
      <c r="C42" s="99" t="s">
        <v>115</v>
      </c>
      <c r="D42" s="99"/>
      <c r="E42" s="99"/>
      <c r="F42" s="99"/>
      <c r="G42" s="99"/>
      <c r="H42" s="99"/>
      <c r="I42" s="99"/>
      <c r="J42" s="100"/>
      <c r="K42" s="101" t="str">
        <f>IF(AND(L15=2, K18&lt;&gt;"", K19&lt;&gt;""), IF((MAX(K18:K19) * 60) &gt; 300, MAX(K18:K19), 1), "")</f>
        <v/>
      </c>
      <c r="L42" s="103">
        <f>IF(OR(K18&lt;&gt;"", K19&lt;&gt;""), IF((MAX(K18:K19) * 60) &gt; 300, 60, 300), 300)</f>
        <v>300</v>
      </c>
      <c r="M42" s="32"/>
      <c r="N42" s="104">
        <f>IF(AND(K18&lt;&gt;"", K19&lt;&gt;"", L15=2), IF((MAX(K18:K19) * 60) &gt; 300, (MAX(K18:K19)*60), 300), )</f>
        <v>0</v>
      </c>
      <c r="O42" s="112"/>
    </row>
    <row r="43" spans="2:15" ht="14.1" customHeight="1" x14ac:dyDescent="0.2">
      <c r="B43" s="7"/>
      <c r="C43" s="99"/>
      <c r="D43" s="99"/>
      <c r="E43" s="99"/>
      <c r="F43" s="99"/>
      <c r="G43" s="99"/>
      <c r="H43" s="99"/>
      <c r="I43" s="99"/>
      <c r="J43" s="100"/>
      <c r="K43" s="102"/>
      <c r="L43" s="103"/>
      <c r="M43" s="32"/>
      <c r="N43" s="104"/>
      <c r="O43" s="113"/>
    </row>
    <row r="44" spans="2:15" ht="14.1" customHeight="1" x14ac:dyDescent="0.2">
      <c r="B44" s="7"/>
      <c r="C44" s="110" t="s">
        <v>114</v>
      </c>
      <c r="D44" s="110"/>
      <c r="E44" s="110"/>
      <c r="F44" s="110"/>
      <c r="G44" s="110"/>
      <c r="H44" s="110"/>
      <c r="I44" s="110"/>
      <c r="J44" s="111"/>
      <c r="K44" s="101" t="str">
        <f>IF(AND(K18&lt;&gt;"", K19&lt;&gt;""), IF((MAX(K18:K19) * 48) &gt; 200, (MAX(K18:K19)), 1), "")</f>
        <v/>
      </c>
      <c r="L44" s="103">
        <f>IF(OR(K18&lt;&gt;"", K19&lt;&gt;""), IF((MAX(K18:K19) * 48) &gt; 200, 48, 200), 200)</f>
        <v>200</v>
      </c>
      <c r="M44" s="32"/>
      <c r="N44" s="104">
        <f>IF(AND(K18&lt;&gt;"", K19&lt;&gt;""), IF((MAX(K18:K19) * 48) &gt; 200, (MAX(K18:K19)*48), 200), )</f>
        <v>0</v>
      </c>
      <c r="O44" s="43"/>
    </row>
    <row r="45" spans="2:15" ht="14.1" customHeight="1" x14ac:dyDescent="0.2">
      <c r="B45" s="7"/>
      <c r="C45" s="110"/>
      <c r="D45" s="110"/>
      <c r="E45" s="110"/>
      <c r="F45" s="110"/>
      <c r="G45" s="110"/>
      <c r="H45" s="110"/>
      <c r="I45" s="110"/>
      <c r="J45" s="111"/>
      <c r="K45" s="102"/>
      <c r="L45" s="103"/>
      <c r="M45" s="32"/>
      <c r="N45" s="104"/>
      <c r="O45" s="43"/>
    </row>
    <row r="46" spans="2:15" ht="14.1" customHeight="1" x14ac:dyDescent="0.2">
      <c r="B46" s="7"/>
      <c r="C46" s="99" t="s">
        <v>141</v>
      </c>
      <c r="D46" s="99"/>
      <c r="E46" s="99"/>
      <c r="F46" s="99"/>
      <c r="G46" s="99"/>
      <c r="H46" s="99"/>
      <c r="I46" s="99"/>
      <c r="J46" s="100"/>
      <c r="K46" s="101" t="str">
        <f>IF(AND(K18&lt;&gt;"", K19&lt;&gt;"", J21&lt;&gt;""),       IF(MAX(MAX(K18:K19)*260, 0.015*J21) &gt; 1450,      IF(   MAX(K18:K19)*260&gt;0.015*J21,   MAX(K18:K19),    1    ),     1    ),        "")</f>
        <v/>
      </c>
      <c r="L46" s="103">
        <f>IF(AND(OR(K18&lt;&gt;"", K19&lt;&gt;""), J21&lt;&gt;""),       IF(MAX(MAX(K18:K19)*260, 0.015*J21) &gt; 1450,      IF(   MAX(K18:K19)*260&gt;0.015*J21,   260,    0.015*J21    ),     1450    ),        1450)</f>
        <v>1450</v>
      </c>
      <c r="M46" s="32"/>
      <c r="N46" s="109">
        <f>IF(AND(K18&lt;&gt;"", K19&lt;&gt;"", J21&lt;&gt;""),       IF(MAX(MAX(K18:K19)*260, 0.015*J21) &gt; 1450,      IF(   MAX(K18:K19)*260&gt;0.015*J21,   MAX(K18:K19)*260,    0.015*J21    ),     1450    ),       )</f>
        <v>0</v>
      </c>
      <c r="O46" s="41"/>
    </row>
    <row r="47" spans="2:15" ht="14.1" customHeight="1" x14ac:dyDescent="0.2">
      <c r="B47" s="7"/>
      <c r="C47" s="99"/>
      <c r="D47" s="99"/>
      <c r="E47" s="99"/>
      <c r="F47" s="99"/>
      <c r="G47" s="99"/>
      <c r="H47" s="99"/>
      <c r="I47" s="99"/>
      <c r="J47" s="100"/>
      <c r="K47" s="102"/>
      <c r="L47" s="103"/>
      <c r="M47" s="32"/>
      <c r="N47" s="109"/>
      <c r="O47" s="41"/>
    </row>
    <row r="48" spans="2:15" ht="14.1" customHeight="1" x14ac:dyDescent="0.2">
      <c r="B48" s="7"/>
      <c r="C48" s="99" t="s">
        <v>117</v>
      </c>
      <c r="D48" s="99"/>
      <c r="E48" s="99"/>
      <c r="F48" s="99"/>
      <c r="G48" s="99"/>
      <c r="H48" s="99"/>
      <c r="I48" s="99"/>
      <c r="J48" s="100"/>
      <c r="K48" s="101" t="str">
        <f>IF(AND(K18&lt;&gt;"", K19&lt;&gt;"", J26&gt;7, J21&lt;&gt;""),       IF(MAX(MAX(K18:K19)*390, 0.03*J21) &gt; 2175,      IF(   MAX(K18:K19)*390&gt;0.03*J21,   MAX(K18:K19),    1    ),     1    ),        "")</f>
        <v/>
      </c>
      <c r="L48" s="103">
        <f>IF(AND(OR(K18&lt;&gt;"", K19&lt;&gt;""), J21&lt;&gt;""),       IF(MAX(MAX(K18:K19)*390, 0.03*J21) &gt; 2175,      IF(   MAX(K18:K19)*390&gt;0.03*J21,   390,    0.03*J21    ),     2175    ),        2175)</f>
        <v>2175</v>
      </c>
      <c r="M48" s="32"/>
      <c r="N48" s="109">
        <f>IF(AND(K18&lt;&gt;"", K19&lt;&gt;"", K48&lt;&gt;""),         IF(MAX(MAX(K18:K19)*390, 0.03*J21) &gt; 2175,      IF(   MAX(K18:K19)*390&gt;0.03*J21,   MAX(K18:K19)*390,    0.03*J21    ),     2175    ),       )</f>
        <v>0</v>
      </c>
      <c r="O48" s="41"/>
    </row>
    <row r="49" spans="2:15" ht="14.1" customHeight="1" x14ac:dyDescent="0.2">
      <c r="B49" s="7"/>
      <c r="C49" s="99"/>
      <c r="D49" s="99"/>
      <c r="E49" s="99"/>
      <c r="F49" s="99"/>
      <c r="G49" s="99"/>
      <c r="H49" s="99"/>
      <c r="I49" s="99"/>
      <c r="J49" s="100"/>
      <c r="K49" s="102"/>
      <c r="L49" s="103"/>
      <c r="M49" s="32"/>
      <c r="N49" s="109"/>
      <c r="O49" s="41"/>
    </row>
    <row r="50" spans="2:15" ht="14.1" customHeight="1" x14ac:dyDescent="0.2">
      <c r="B50" s="7"/>
      <c r="C50" s="99" t="s">
        <v>116</v>
      </c>
      <c r="D50" s="99"/>
      <c r="E50" s="99"/>
      <c r="F50" s="99"/>
      <c r="G50" s="99"/>
      <c r="H50" s="99"/>
      <c r="I50" s="99"/>
      <c r="J50" s="100"/>
      <c r="K50" s="101" t="str">
        <f>IF(AND(K18&lt;&gt;"", K19&lt;&gt;"", J26&gt;14, J21&lt;&gt;""),       IF(MAX(MAX(K18:K19)*585, 0.045*J21) &gt; 3262,      IF(   MAX(K18:K19)*585&gt;0.045*J21,   MAX(K18:K19),    1    ),     1    ),        "")</f>
        <v/>
      </c>
      <c r="L50" s="103">
        <f>IF(AND(OR(K18&lt;&gt;"", K19&lt;&gt;""), J21&lt;&gt;""),      IF(MAX(MAX(K18:K19)*585, 0.045*J21) &gt; 3262,      IF(   MAX(K18:K19)*585&gt;0.045*J21,   585,    0.045*J21    ),     3262    ),        3262)</f>
        <v>3262</v>
      </c>
      <c r="M50" s="32"/>
      <c r="N50" s="109">
        <f>IF(AND(K18&lt;&gt;"", K19&lt;&gt;"", K50&lt;&gt;""),         IF(MAX(MAX(K18:K19)*585, 0.045*J21) &gt; 3262,      IF(   MAX(K18:K19)*585&gt;0.045*J21,   MAX(K18:K19)*585,    0.045*J21    ),     3262    ),       )</f>
        <v>0</v>
      </c>
      <c r="O50" s="41"/>
    </row>
    <row r="51" spans="2:15" ht="14.1" customHeight="1" x14ac:dyDescent="0.2">
      <c r="B51" s="7"/>
      <c r="C51" s="99"/>
      <c r="D51" s="99"/>
      <c r="E51" s="99"/>
      <c r="F51" s="99"/>
      <c r="G51" s="99"/>
      <c r="H51" s="99"/>
      <c r="I51" s="99"/>
      <c r="J51" s="100"/>
      <c r="K51" s="102"/>
      <c r="L51" s="103"/>
      <c r="M51" s="32"/>
      <c r="N51" s="109"/>
      <c r="O51" s="41"/>
    </row>
    <row r="52" spans="2:15" ht="14.1" customHeight="1" x14ac:dyDescent="0.2">
      <c r="B52" s="7"/>
      <c r="C52" s="99" t="s">
        <v>118</v>
      </c>
      <c r="D52" s="99"/>
      <c r="E52" s="99"/>
      <c r="F52" s="99"/>
      <c r="G52" s="99"/>
      <c r="H52" s="99"/>
      <c r="I52" s="99"/>
      <c r="J52" s="100"/>
      <c r="K52" s="101" t="str">
        <f>IF(AND(K18&lt;&gt;"", K19&lt;&gt;"", J26&gt;21, J21&lt;&gt;""),      IF(MAX(MAX(K18:K19)*877, 0.06*J21) &gt; 3262,      IF(   MAX(K18:K19)*877&gt;0.06*J21,   MAX(K18:K19),    1    ),     1    ),        "")</f>
        <v/>
      </c>
      <c r="L52" s="103">
        <f>IF(AND(OR(K18&lt;&gt;"", K19&lt;&gt;""), J21&lt;&gt;""),       IF(MAX(MAX(K18:K19)*877, 0.06*J21) &gt; 3262,      IF(   MAX(K18:K19)*877&gt;0.06*J21,   877,    0.06*J21    ),     3262    ),        3262)</f>
        <v>3262</v>
      </c>
      <c r="M52" s="32"/>
      <c r="N52" s="104">
        <f>IF(AND(K18&lt;&gt;"", K19&lt;&gt;"", K52&lt;&gt;""),       IF(MAX(MAX(K18:K19)*877, 0.06*J21) &gt; 3262,      IF(   MAX(K18:K19)*877&gt;0.06*J21,   MAX(K18:K19)*877,    0.06*J21    ),     3262    ),       )</f>
        <v>0</v>
      </c>
      <c r="O52" s="114"/>
    </row>
    <row r="53" spans="2:15" ht="14.1" customHeight="1" x14ac:dyDescent="0.2">
      <c r="B53" s="7"/>
      <c r="C53" s="99"/>
      <c r="D53" s="99"/>
      <c r="E53" s="99"/>
      <c r="F53" s="99"/>
      <c r="G53" s="99"/>
      <c r="H53" s="99"/>
      <c r="I53" s="99"/>
      <c r="J53" s="100"/>
      <c r="K53" s="102"/>
      <c r="L53" s="103"/>
      <c r="M53" s="32"/>
      <c r="N53" s="104"/>
      <c r="O53" s="114"/>
    </row>
    <row r="54" spans="2:15" ht="16.5" customHeight="1" x14ac:dyDescent="0.2">
      <c r="B54" s="7"/>
      <c r="C54" s="8"/>
      <c r="D54" s="8"/>
      <c r="E54" s="8"/>
      <c r="F54" s="8"/>
      <c r="G54" s="10"/>
      <c r="H54" s="10"/>
      <c r="I54" s="10"/>
      <c r="J54" s="30" t="s">
        <v>97</v>
      </c>
      <c r="K54" s="82" t="str">
        <f>IF(L10=3, 1, "")</f>
        <v/>
      </c>
      <c r="L54" s="44" t="s">
        <v>96</v>
      </c>
      <c r="M54" s="32"/>
      <c r="N54" s="33">
        <f>IF(K54=1, SUM(N39:N41,N42:N53), )</f>
        <v>0</v>
      </c>
      <c r="O54" s="41"/>
    </row>
    <row r="55" spans="2:15" ht="16.5" customHeight="1" x14ac:dyDescent="0.2">
      <c r="B55" s="7"/>
      <c r="C55" s="8"/>
      <c r="D55" s="8"/>
      <c r="E55" s="8"/>
      <c r="F55" s="8"/>
      <c r="G55" s="10"/>
      <c r="H55" s="10"/>
      <c r="I55" s="10"/>
      <c r="J55" s="30" t="s">
        <v>98</v>
      </c>
      <c r="K55" s="82" t="str">
        <f>IF(AND(L10=2, K18&lt;&gt;"",K19&lt;&gt;""), 1, "")</f>
        <v/>
      </c>
      <c r="L55" s="44" t="s">
        <v>96</v>
      </c>
      <c r="M55" s="32"/>
      <c r="N55" s="33">
        <f>IF(K55=1, SUM(N54,N56:N59), )</f>
        <v>0</v>
      </c>
      <c r="O55" s="41"/>
    </row>
    <row r="56" spans="2:15" ht="16.5" customHeight="1" x14ac:dyDescent="0.2">
      <c r="B56" s="7"/>
      <c r="C56" s="8"/>
      <c r="D56" s="8"/>
      <c r="E56" s="8"/>
      <c r="F56" s="8"/>
      <c r="G56" s="10"/>
      <c r="H56" s="10"/>
      <c r="I56" s="10"/>
      <c r="J56" s="30" t="s">
        <v>20</v>
      </c>
      <c r="K56" s="63"/>
      <c r="L56" s="31">
        <v>1200</v>
      </c>
      <c r="M56" s="32"/>
      <c r="N56" s="33">
        <f>K56*L56</f>
        <v>0</v>
      </c>
      <c r="O56" s="41"/>
    </row>
    <row r="57" spans="2:15" ht="16.5" customHeight="1" x14ac:dyDescent="0.2">
      <c r="B57" s="7"/>
      <c r="C57" s="8"/>
      <c r="D57" s="8"/>
      <c r="E57" s="8"/>
      <c r="F57" s="8"/>
      <c r="G57" s="10"/>
      <c r="H57" s="10"/>
      <c r="I57" s="10"/>
      <c r="J57" s="30" t="s">
        <v>84</v>
      </c>
      <c r="K57" s="82" t="str">
        <f>IF(AND(K18&gt;25, K18&lt;&gt;""), 1, "")</f>
        <v/>
      </c>
      <c r="L57" s="44" t="s">
        <v>83</v>
      </c>
      <c r="M57" s="32"/>
      <c r="N57" s="45">
        <f>IF(K57=1, L57*SUM(N29:N34), )</f>
        <v>0</v>
      </c>
      <c r="O57" s="19"/>
    </row>
    <row r="58" spans="2:15" ht="16.5" customHeight="1" x14ac:dyDescent="0.2">
      <c r="B58" s="7"/>
      <c r="C58" s="8"/>
      <c r="D58" s="8"/>
      <c r="E58" s="8"/>
      <c r="F58" s="8"/>
      <c r="G58" s="10"/>
      <c r="H58" s="10"/>
      <c r="I58" s="10"/>
      <c r="J58" s="30" t="s">
        <v>21</v>
      </c>
      <c r="K58" s="63"/>
      <c r="L58" s="31">
        <v>1200</v>
      </c>
      <c r="M58" s="32"/>
      <c r="N58" s="33">
        <f>K58*L58</f>
        <v>0</v>
      </c>
      <c r="O58" s="41"/>
    </row>
    <row r="59" spans="2:15" ht="14.1" customHeight="1" x14ac:dyDescent="0.2">
      <c r="B59" s="54"/>
      <c r="C59" s="99" t="s">
        <v>119</v>
      </c>
      <c r="D59" s="99"/>
      <c r="E59" s="99"/>
      <c r="F59" s="99"/>
      <c r="G59" s="99"/>
      <c r="H59" s="99"/>
      <c r="I59" s="99"/>
      <c r="J59" s="100"/>
      <c r="K59" s="101" t="str">
        <f>IF(J21&gt;2500000, 1, "")</f>
        <v/>
      </c>
      <c r="L59" s="103">
        <v>1750</v>
      </c>
      <c r="M59" s="32"/>
      <c r="N59" s="104">
        <f>IF(K59&lt;&gt;"", K59*L59, )</f>
        <v>0</v>
      </c>
      <c r="O59" s="19"/>
    </row>
    <row r="60" spans="2:15" ht="14.1" customHeight="1" x14ac:dyDescent="0.2">
      <c r="B60" s="54"/>
      <c r="C60" s="99"/>
      <c r="D60" s="99"/>
      <c r="E60" s="99"/>
      <c r="F60" s="99"/>
      <c r="G60" s="99"/>
      <c r="H60" s="99"/>
      <c r="I60" s="99"/>
      <c r="J60" s="100"/>
      <c r="K60" s="102"/>
      <c r="L60" s="103"/>
      <c r="M60" s="32"/>
      <c r="N60" s="104"/>
      <c r="O60" s="19"/>
    </row>
    <row r="61" spans="2:15" ht="14.1" customHeight="1" x14ac:dyDescent="0.2">
      <c r="B61" s="51"/>
      <c r="C61" s="99" t="s">
        <v>120</v>
      </c>
      <c r="D61" s="99"/>
      <c r="E61" s="99"/>
      <c r="F61" s="99"/>
      <c r="G61" s="99"/>
      <c r="H61" s="99"/>
      <c r="I61" s="99"/>
      <c r="J61" s="100"/>
      <c r="K61" s="101" t="str">
        <f>IF(AND(K18&lt;&gt;"", K19&lt;&gt;""), IF((MAX(K18:K19) * 200) &gt; 600, (MAX(K18:K19)), 1), "")</f>
        <v/>
      </c>
      <c r="L61" s="115">
        <f>IF(OR(K18&lt;&gt;"", K19&lt;&gt;""), IF((MAX(K18:K19) * 200) &gt; 600, 200, 600), 600)</f>
        <v>600</v>
      </c>
      <c r="M61" s="32"/>
      <c r="N61" s="104">
        <f>IF(AND(K18&lt;&gt;"", K19&lt;&gt;""), IF((MAX(K18:K19) * 200) &gt; 600, (MAX(K18:K19)*200), 600), )</f>
        <v>0</v>
      </c>
      <c r="O61" s="19"/>
    </row>
    <row r="62" spans="2:15" ht="14.1" customHeight="1" x14ac:dyDescent="0.2">
      <c r="B62" s="51"/>
      <c r="C62" s="99"/>
      <c r="D62" s="99"/>
      <c r="E62" s="99"/>
      <c r="F62" s="99"/>
      <c r="G62" s="99"/>
      <c r="H62" s="99"/>
      <c r="I62" s="99"/>
      <c r="J62" s="100"/>
      <c r="K62" s="102"/>
      <c r="L62" s="115"/>
      <c r="M62" s="32"/>
      <c r="N62" s="104"/>
      <c r="O62" s="19"/>
    </row>
    <row r="63" spans="2:15" ht="16.5" customHeight="1" x14ac:dyDescent="0.2">
      <c r="B63" s="51"/>
      <c r="C63" s="52"/>
      <c r="D63" s="52"/>
      <c r="E63" s="52"/>
      <c r="F63" s="52"/>
      <c r="G63" s="52"/>
      <c r="H63" s="52"/>
      <c r="I63" s="52"/>
      <c r="J63" s="30" t="s">
        <v>121</v>
      </c>
      <c r="K63" s="83" t="str">
        <f>IF(AND(L15=2, K18&lt;&gt;"", K19&lt;&gt;""), IF((MAX(K18:K19) * 60) &gt; 700, MAX(K18:K19), 1), "")</f>
        <v/>
      </c>
      <c r="L63" s="31">
        <f>IF(OR(K18&lt;&gt;"", K19&lt;&gt;""), IF((MAX(K18:K19) * 60) &gt; 700, 60, 700), 700)</f>
        <v>700</v>
      </c>
      <c r="M63" s="32"/>
      <c r="N63" s="53">
        <f>IF(AND(K18&lt;&gt;"", K19&lt;&gt;"", L15=2), IF((MAX(K18:K19) * 60) &gt; 700, (MAX(K18:K19)*60), 700), )</f>
        <v>0</v>
      </c>
      <c r="O63" s="19"/>
    </row>
    <row r="64" spans="2:15" ht="16.5" customHeight="1" x14ac:dyDescent="0.2">
      <c r="B64" s="51"/>
      <c r="C64" s="52"/>
      <c r="D64" s="52"/>
      <c r="E64" s="52"/>
      <c r="F64" s="52"/>
      <c r="G64" s="52"/>
      <c r="H64" s="52"/>
      <c r="I64" s="52"/>
      <c r="J64" s="30" t="s">
        <v>122</v>
      </c>
      <c r="K64" s="83" t="str">
        <f>IF(AND(K18&lt;&gt;"", K19&lt;&gt;""), IF((MAX(K18:K19) * 120) &gt; 310, (MAX(K18:K19)), 1), "")</f>
        <v/>
      </c>
      <c r="L64" s="31">
        <f>IF(OR(K18&lt;&gt;"", K19&lt;&gt;""), IF((MAX(K18:K19) * 120) &gt; 310, 120, 310), 310)</f>
        <v>310</v>
      </c>
      <c r="M64" s="32"/>
      <c r="N64" s="53">
        <f>IF(AND(K18&lt;&gt;"", K19&lt;&gt;""), IF((MAX(K18:K19) * 120) &gt; 310, (MAX(K18:K19)*120), 310), )</f>
        <v>0</v>
      </c>
      <c r="O64" s="19"/>
    </row>
    <row r="65" spans="2:15" ht="16.5" customHeight="1" x14ac:dyDescent="0.2">
      <c r="B65" s="51"/>
      <c r="C65" s="52"/>
      <c r="D65" s="52"/>
      <c r="E65" s="52"/>
      <c r="F65" s="52"/>
      <c r="G65" s="52"/>
      <c r="H65" s="52"/>
      <c r="I65" s="52"/>
      <c r="J65" s="30" t="s">
        <v>123</v>
      </c>
      <c r="K65" s="64"/>
      <c r="L65" s="31">
        <v>360</v>
      </c>
      <c r="M65" s="32"/>
      <c r="N65" s="53">
        <f>K65*L65</f>
        <v>0</v>
      </c>
      <c r="O65" s="19"/>
    </row>
    <row r="66" spans="2:15" ht="16.5" customHeight="1" x14ac:dyDescent="0.2">
      <c r="B66" s="51"/>
      <c r="C66" s="52"/>
      <c r="D66" s="52"/>
      <c r="E66" s="52"/>
      <c r="F66" s="52"/>
      <c r="G66" s="52"/>
      <c r="H66" s="52"/>
      <c r="I66" s="52"/>
      <c r="J66" s="30" t="s">
        <v>124</v>
      </c>
      <c r="K66" s="64"/>
      <c r="L66" s="31">
        <v>1790</v>
      </c>
      <c r="M66" s="32"/>
      <c r="N66" s="53">
        <f>K66*L66</f>
        <v>0</v>
      </c>
      <c r="O66" s="19"/>
    </row>
    <row r="67" spans="2:15" ht="16.5" customHeight="1" x14ac:dyDescent="0.2">
      <c r="B67" s="51"/>
      <c r="C67" s="52"/>
      <c r="D67" s="52"/>
      <c r="E67" s="52"/>
      <c r="F67" s="52"/>
      <c r="G67" s="52"/>
      <c r="H67" s="52"/>
      <c r="I67" s="52"/>
      <c r="J67" s="30" t="s">
        <v>125</v>
      </c>
      <c r="K67" s="64"/>
      <c r="L67" s="31">
        <v>2327</v>
      </c>
      <c r="M67" s="32"/>
      <c r="N67" s="53">
        <f>K67*L67</f>
        <v>0</v>
      </c>
      <c r="O67" s="19"/>
    </row>
    <row r="68" spans="2:15" ht="16.5" customHeight="1" x14ac:dyDescent="0.2">
      <c r="B68" s="51"/>
      <c r="C68" s="52"/>
      <c r="D68" s="52"/>
      <c r="E68" s="52"/>
      <c r="F68" s="52"/>
      <c r="G68" s="52"/>
      <c r="H68" s="52"/>
      <c r="I68" s="52"/>
      <c r="J68" s="30" t="s">
        <v>126</v>
      </c>
      <c r="K68" s="83" t="str">
        <f>IF(AND(K18&lt;&gt;"", K19&lt;&gt;""), IF((MAX(K18:K19) * 195) &gt; 600, MAX(K18:K19), 1), "")</f>
        <v/>
      </c>
      <c r="L68" s="31">
        <f>IF(OR(K18&lt;&gt;"", K19&lt;&gt;""), IF((MAX(K18:K19) * 195) &gt; 600, 195, 600), 600)</f>
        <v>600</v>
      </c>
      <c r="M68" s="32"/>
      <c r="N68" s="53">
        <f>IF(AND(K18&lt;&gt;"", K19&lt;&gt;""), IF((MAX(K18:K19) * 195) &gt; 600, MAX(K18:K19)*195, 600), )</f>
        <v>0</v>
      </c>
      <c r="O68" s="19"/>
    </row>
    <row r="69" spans="2:15" ht="16.5" customHeight="1" x14ac:dyDescent="0.2">
      <c r="B69" s="51"/>
      <c r="C69" s="52"/>
      <c r="D69" s="52"/>
      <c r="E69" s="52"/>
      <c r="F69" s="52"/>
      <c r="G69" s="52"/>
      <c r="H69" s="52"/>
      <c r="I69" s="52"/>
      <c r="J69" s="46" t="s">
        <v>127</v>
      </c>
      <c r="K69" s="64"/>
      <c r="L69" s="31">
        <v>440</v>
      </c>
      <c r="M69" s="32"/>
      <c r="N69" s="53">
        <f>K69*L69</f>
        <v>0</v>
      </c>
      <c r="O69" s="19"/>
    </row>
    <row r="70" spans="2:15" ht="16.5" customHeight="1" x14ac:dyDescent="0.2">
      <c r="B70" s="51"/>
      <c r="C70" s="52"/>
      <c r="D70" s="52"/>
      <c r="E70" s="52"/>
      <c r="F70" s="52"/>
      <c r="G70" s="52"/>
      <c r="H70" s="52"/>
      <c r="I70" s="52"/>
      <c r="J70" s="30" t="s">
        <v>39</v>
      </c>
      <c r="K70" s="64"/>
      <c r="L70" s="31">
        <v>1800</v>
      </c>
      <c r="M70" s="32"/>
      <c r="N70" s="53">
        <f>K70*L70</f>
        <v>0</v>
      </c>
      <c r="O70" s="19"/>
    </row>
    <row r="71" spans="2:15" ht="16.5" customHeight="1" x14ac:dyDescent="0.2">
      <c r="B71" s="7"/>
      <c r="C71" s="8"/>
      <c r="D71" s="8"/>
      <c r="E71" s="8"/>
      <c r="F71" s="8"/>
      <c r="G71" s="10"/>
      <c r="H71" s="10"/>
      <c r="I71" s="10"/>
      <c r="J71" s="30" t="s">
        <v>99</v>
      </c>
      <c r="K71" s="82" t="str">
        <f>IF(L10=3, 1, "")</f>
        <v/>
      </c>
      <c r="L71" s="44" t="s">
        <v>96</v>
      </c>
      <c r="M71" s="32"/>
      <c r="N71" s="33">
        <f>IF(K71=1, SUM(N61:N68), )</f>
        <v>0</v>
      </c>
      <c r="O71" s="19"/>
    </row>
    <row r="72" spans="2:15" ht="16.5" customHeight="1" x14ac:dyDescent="0.2">
      <c r="B72" s="7"/>
      <c r="C72" s="8"/>
      <c r="D72" s="8"/>
      <c r="E72" s="8"/>
      <c r="F72" s="8"/>
      <c r="G72" s="10"/>
      <c r="H72" s="10"/>
      <c r="I72" s="10"/>
      <c r="J72" s="30" t="s">
        <v>100</v>
      </c>
      <c r="K72" s="82" t="str">
        <f>IF(AND(L10=2, K18&lt;&gt;"",K19&lt;&gt;""), 1, "")</f>
        <v/>
      </c>
      <c r="L72" s="44" t="s">
        <v>96</v>
      </c>
      <c r="M72" s="32"/>
      <c r="N72" s="33">
        <f>IF(K72=1, SUM(N61:N68), )</f>
        <v>0</v>
      </c>
      <c r="O72" s="19"/>
    </row>
    <row r="73" spans="2:15" ht="16.5" customHeight="1" x14ac:dyDescent="0.2">
      <c r="B73" s="7"/>
      <c r="C73" s="8"/>
      <c r="D73" s="8"/>
      <c r="E73" s="8"/>
      <c r="F73" s="8"/>
      <c r="G73" s="10"/>
      <c r="H73" s="10"/>
      <c r="I73" s="10"/>
      <c r="J73" s="30" t="s">
        <v>40</v>
      </c>
      <c r="K73" s="63"/>
      <c r="L73" s="31">
        <v>1200</v>
      </c>
      <c r="M73" s="32"/>
      <c r="N73" s="33">
        <f t="shared" ref="N73:N94" si="0">K73*L73</f>
        <v>0</v>
      </c>
      <c r="O73" s="19"/>
    </row>
    <row r="74" spans="2:15" ht="16.5" customHeight="1" x14ac:dyDescent="0.2">
      <c r="B74" s="7"/>
      <c r="C74" s="8"/>
      <c r="D74" s="8"/>
      <c r="E74" s="8"/>
      <c r="F74" s="8"/>
      <c r="G74" s="10"/>
      <c r="H74" s="10"/>
      <c r="I74" s="10"/>
      <c r="J74" s="30" t="s">
        <v>41</v>
      </c>
      <c r="K74" s="63"/>
      <c r="L74" s="31">
        <v>1350</v>
      </c>
      <c r="M74" s="32"/>
      <c r="N74" s="33">
        <f t="shared" si="0"/>
        <v>0</v>
      </c>
      <c r="O74" s="19"/>
    </row>
    <row r="75" spans="2:15" ht="16.5" customHeight="1" x14ac:dyDescent="0.2">
      <c r="B75" s="7"/>
      <c r="C75" s="8"/>
      <c r="D75" s="8"/>
      <c r="E75" s="8"/>
      <c r="F75" s="8"/>
      <c r="G75" s="10"/>
      <c r="H75" s="10"/>
      <c r="I75" s="10"/>
      <c r="J75" s="30" t="s">
        <v>42</v>
      </c>
      <c r="K75" s="63"/>
      <c r="L75" s="31">
        <v>1350</v>
      </c>
      <c r="M75" s="32"/>
      <c r="N75" s="33">
        <f t="shared" si="0"/>
        <v>0</v>
      </c>
      <c r="O75" s="19"/>
    </row>
    <row r="76" spans="2:15" ht="16.5" customHeight="1" x14ac:dyDescent="0.2">
      <c r="B76" s="7"/>
      <c r="C76" s="8"/>
      <c r="D76" s="8"/>
      <c r="E76" s="8"/>
      <c r="F76" s="8"/>
      <c r="G76" s="10"/>
      <c r="H76" s="10"/>
      <c r="I76" s="10"/>
      <c r="J76" s="30" t="s">
        <v>43</v>
      </c>
      <c r="K76" s="63"/>
      <c r="L76" s="31">
        <v>1550</v>
      </c>
      <c r="M76" s="32"/>
      <c r="N76" s="33">
        <f t="shared" si="0"/>
        <v>0</v>
      </c>
      <c r="O76" s="19"/>
    </row>
    <row r="77" spans="2:15" ht="16.5" customHeight="1" x14ac:dyDescent="0.2">
      <c r="B77" s="7"/>
      <c r="C77" s="8"/>
      <c r="D77" s="8"/>
      <c r="E77" s="8"/>
      <c r="F77" s="8"/>
      <c r="G77" s="10"/>
      <c r="H77" s="10"/>
      <c r="I77" s="10"/>
      <c r="J77" s="30" t="s">
        <v>44</v>
      </c>
      <c r="K77" s="63"/>
      <c r="L77" s="31">
        <v>2000</v>
      </c>
      <c r="M77" s="32"/>
      <c r="N77" s="33">
        <f t="shared" si="0"/>
        <v>0</v>
      </c>
      <c r="O77" s="19"/>
    </row>
    <row r="78" spans="2:15" ht="16.5" customHeight="1" x14ac:dyDescent="0.2">
      <c r="B78" s="7"/>
      <c r="C78" s="8"/>
      <c r="D78" s="8"/>
      <c r="E78" s="8"/>
      <c r="F78" s="8"/>
      <c r="G78" s="10"/>
      <c r="H78" s="10"/>
      <c r="I78" s="10"/>
      <c r="J78" s="30" t="s">
        <v>128</v>
      </c>
      <c r="K78" s="63"/>
      <c r="L78" s="31">
        <f>IF(OR(K18&lt;&gt;"", K19&lt;&gt;""), IF((MAX(K18:K19) * 220) &gt; 780, 220*MAX(K18:K19), 780), 780)</f>
        <v>780</v>
      </c>
      <c r="M78" s="32"/>
      <c r="N78" s="33">
        <f>IF(AND(K18&lt;&gt;"", K19&lt;&gt;""), IF((MAX(K18:K19) * 220) &gt; 780, (MAX(K18:K19)*220)*K78, 780*K78), )</f>
        <v>0</v>
      </c>
      <c r="O78" s="61"/>
    </row>
    <row r="79" spans="2:15" ht="16.5" customHeight="1" x14ac:dyDescent="0.2">
      <c r="B79" s="7"/>
      <c r="C79" s="8"/>
      <c r="D79" s="8"/>
      <c r="E79" s="8"/>
      <c r="F79" s="8"/>
      <c r="G79" s="10"/>
      <c r="H79" s="10"/>
      <c r="I79" s="10"/>
      <c r="J79" s="30" t="s">
        <v>47</v>
      </c>
      <c r="K79" s="63"/>
      <c r="L79" s="31">
        <v>80</v>
      </c>
      <c r="M79" s="32"/>
      <c r="N79" s="33">
        <f t="shared" si="0"/>
        <v>0</v>
      </c>
      <c r="O79" s="19"/>
    </row>
    <row r="80" spans="2:15" ht="16.5" customHeight="1" x14ac:dyDescent="0.2">
      <c r="B80" s="7"/>
      <c r="C80" s="8"/>
      <c r="D80" s="8"/>
      <c r="E80" s="8"/>
      <c r="F80" s="8"/>
      <c r="G80" s="10"/>
      <c r="H80" s="10"/>
      <c r="I80" s="10"/>
      <c r="J80" s="30" t="s">
        <v>48</v>
      </c>
      <c r="K80" s="63"/>
      <c r="L80" s="31">
        <v>540</v>
      </c>
      <c r="M80" s="32"/>
      <c r="N80" s="33">
        <f t="shared" si="0"/>
        <v>0</v>
      </c>
      <c r="O80" s="19"/>
    </row>
    <row r="81" spans="2:15" ht="16.5" customHeight="1" x14ac:dyDescent="0.2">
      <c r="B81" s="7"/>
      <c r="C81" s="8"/>
      <c r="D81" s="8"/>
      <c r="E81" s="8"/>
      <c r="F81" s="8"/>
      <c r="G81" s="10"/>
      <c r="H81" s="10"/>
      <c r="I81" s="10"/>
      <c r="J81" s="30" t="s">
        <v>51</v>
      </c>
      <c r="K81" s="63"/>
      <c r="L81" s="31">
        <v>550</v>
      </c>
      <c r="M81" s="32"/>
      <c r="N81" s="33">
        <f t="shared" si="0"/>
        <v>0</v>
      </c>
      <c r="O81" s="19"/>
    </row>
    <row r="82" spans="2:15" ht="16.5" customHeight="1" x14ac:dyDescent="0.2">
      <c r="B82" s="7"/>
      <c r="C82" s="8"/>
      <c r="D82" s="8"/>
      <c r="E82" s="8"/>
      <c r="F82" s="8"/>
      <c r="G82" s="10"/>
      <c r="H82" s="10"/>
      <c r="I82" s="10"/>
      <c r="J82" s="30" t="s">
        <v>52</v>
      </c>
      <c r="K82" s="63"/>
      <c r="L82" s="31">
        <v>250</v>
      </c>
      <c r="M82" s="32"/>
      <c r="N82" s="33">
        <f t="shared" si="0"/>
        <v>0</v>
      </c>
      <c r="O82" s="19"/>
    </row>
    <row r="83" spans="2:15" ht="16.5" customHeight="1" x14ac:dyDescent="0.2">
      <c r="B83" s="7"/>
      <c r="C83" s="8"/>
      <c r="D83" s="8"/>
      <c r="E83" s="8"/>
      <c r="F83" s="8"/>
      <c r="G83" s="10"/>
      <c r="H83" s="10"/>
      <c r="I83" s="10"/>
      <c r="J83" s="30" t="s">
        <v>53</v>
      </c>
      <c r="K83" s="63"/>
      <c r="L83" s="31">
        <v>400</v>
      </c>
      <c r="M83" s="32"/>
      <c r="N83" s="33">
        <f t="shared" si="0"/>
        <v>0</v>
      </c>
      <c r="O83" s="19"/>
    </row>
    <row r="84" spans="2:15" ht="16.5" customHeight="1" x14ac:dyDescent="0.2">
      <c r="B84" s="7"/>
      <c r="C84" s="8"/>
      <c r="D84" s="8"/>
      <c r="E84" s="8"/>
      <c r="F84" s="8"/>
      <c r="G84" s="10"/>
      <c r="H84" s="10"/>
      <c r="I84" s="10"/>
      <c r="J84" s="30" t="s">
        <v>54</v>
      </c>
      <c r="K84" s="63"/>
      <c r="L84" s="31">
        <v>500</v>
      </c>
      <c r="M84" s="32"/>
      <c r="N84" s="33">
        <f t="shared" si="0"/>
        <v>0</v>
      </c>
      <c r="O84" s="19"/>
    </row>
    <row r="85" spans="2:15" ht="16.5" customHeight="1" x14ac:dyDescent="0.2">
      <c r="B85" s="7"/>
      <c r="C85" s="8"/>
      <c r="D85" s="8"/>
      <c r="E85" s="8"/>
      <c r="F85" s="8"/>
      <c r="G85" s="10"/>
      <c r="H85" s="10"/>
      <c r="I85" s="10"/>
      <c r="J85" s="30" t="s">
        <v>55</v>
      </c>
      <c r="K85" s="63"/>
      <c r="L85" s="31">
        <v>600</v>
      </c>
      <c r="M85" s="32"/>
      <c r="N85" s="33">
        <f t="shared" si="0"/>
        <v>0</v>
      </c>
      <c r="O85" s="19"/>
    </row>
    <row r="86" spans="2:15" ht="16.5" customHeight="1" x14ac:dyDescent="0.2">
      <c r="B86" s="7"/>
      <c r="C86" s="8"/>
      <c r="D86" s="8"/>
      <c r="E86" s="8"/>
      <c r="F86" s="8"/>
      <c r="G86" s="10"/>
      <c r="H86" s="10"/>
      <c r="I86" s="10"/>
      <c r="J86" s="30" t="s">
        <v>56</v>
      </c>
      <c r="K86" s="63"/>
      <c r="L86" s="31">
        <v>820</v>
      </c>
      <c r="M86" s="32"/>
      <c r="N86" s="33">
        <f t="shared" si="0"/>
        <v>0</v>
      </c>
      <c r="O86" s="19"/>
    </row>
    <row r="87" spans="2:15" ht="16.5" customHeight="1" x14ac:dyDescent="0.2">
      <c r="B87" s="7"/>
      <c r="C87" s="8"/>
      <c r="D87" s="8"/>
      <c r="E87" s="8"/>
      <c r="F87" s="8"/>
      <c r="G87" s="10"/>
      <c r="H87" s="10"/>
      <c r="I87" s="10"/>
      <c r="J87" s="30" t="s">
        <v>57</v>
      </c>
      <c r="K87" s="63"/>
      <c r="L87" s="31">
        <v>1190</v>
      </c>
      <c r="M87" s="32"/>
      <c r="N87" s="33">
        <f t="shared" si="0"/>
        <v>0</v>
      </c>
      <c r="O87" s="19"/>
    </row>
    <row r="88" spans="2:15" ht="16.5" customHeight="1" x14ac:dyDescent="0.2">
      <c r="B88" s="7"/>
      <c r="C88" s="8"/>
      <c r="D88" s="8"/>
      <c r="E88" s="8"/>
      <c r="F88" s="8"/>
      <c r="G88" s="10"/>
      <c r="H88" s="10"/>
      <c r="I88" s="10"/>
      <c r="J88" s="30" t="s">
        <v>58</v>
      </c>
      <c r="K88" s="63"/>
      <c r="L88" s="31">
        <v>250</v>
      </c>
      <c r="M88" s="32"/>
      <c r="N88" s="33">
        <f t="shared" si="0"/>
        <v>0</v>
      </c>
      <c r="O88" s="19"/>
    </row>
    <row r="89" spans="2:15" ht="16.5" customHeight="1" x14ac:dyDescent="0.2">
      <c r="B89" s="7"/>
      <c r="C89" s="8"/>
      <c r="D89" s="8"/>
      <c r="E89" s="8"/>
      <c r="F89" s="8"/>
      <c r="G89" s="10"/>
      <c r="H89" s="10"/>
      <c r="I89" s="10"/>
      <c r="J89" s="30" t="s">
        <v>59</v>
      </c>
      <c r="K89" s="63"/>
      <c r="L89" s="31">
        <v>250</v>
      </c>
      <c r="M89" s="32"/>
      <c r="N89" s="33">
        <f t="shared" si="0"/>
        <v>0</v>
      </c>
      <c r="O89" s="19"/>
    </row>
    <row r="90" spans="2:15" ht="16.5" customHeight="1" x14ac:dyDescent="0.2">
      <c r="B90" s="7"/>
      <c r="C90" s="8"/>
      <c r="D90" s="8"/>
      <c r="E90" s="8"/>
      <c r="F90" s="8"/>
      <c r="G90" s="10"/>
      <c r="H90" s="10"/>
      <c r="I90" s="10"/>
      <c r="J90" s="30" t="s">
        <v>76</v>
      </c>
      <c r="K90" s="63"/>
      <c r="L90" s="31">
        <v>630</v>
      </c>
      <c r="M90" s="32"/>
      <c r="N90" s="33">
        <f t="shared" si="0"/>
        <v>0</v>
      </c>
      <c r="O90" s="19"/>
    </row>
    <row r="91" spans="2:15" ht="16.5" customHeight="1" x14ac:dyDescent="0.2">
      <c r="B91" s="7"/>
      <c r="C91" s="8"/>
      <c r="D91" s="8"/>
      <c r="E91" s="8"/>
      <c r="F91" s="8"/>
      <c r="G91" s="10"/>
      <c r="H91" s="10"/>
      <c r="I91" s="10"/>
      <c r="J91" s="30" t="s">
        <v>77</v>
      </c>
      <c r="K91" s="63"/>
      <c r="L91" s="31">
        <v>55</v>
      </c>
      <c r="M91" s="32"/>
      <c r="N91" s="33">
        <f t="shared" si="0"/>
        <v>0</v>
      </c>
      <c r="O91" s="19"/>
    </row>
    <row r="92" spans="2:15" ht="16.5" customHeight="1" x14ac:dyDescent="0.2">
      <c r="B92" s="7"/>
      <c r="C92" s="8"/>
      <c r="D92" s="8"/>
      <c r="E92" s="8"/>
      <c r="F92" s="8"/>
      <c r="G92" s="10"/>
      <c r="H92" s="10"/>
      <c r="I92" s="10"/>
      <c r="J92" s="30" t="s">
        <v>78</v>
      </c>
      <c r="K92" s="63"/>
      <c r="L92" s="31">
        <v>327</v>
      </c>
      <c r="M92" s="32"/>
      <c r="N92" s="33">
        <f t="shared" si="0"/>
        <v>0</v>
      </c>
      <c r="O92" s="19"/>
    </row>
    <row r="93" spans="2:15" ht="18" customHeight="1" x14ac:dyDescent="0.2">
      <c r="B93" s="7"/>
      <c r="C93" s="8"/>
      <c r="D93" s="8"/>
      <c r="E93" s="8"/>
      <c r="F93" s="8"/>
      <c r="G93" s="10"/>
      <c r="H93" s="10"/>
      <c r="I93" s="10"/>
      <c r="J93" s="30" t="s">
        <v>79</v>
      </c>
      <c r="K93" s="63"/>
      <c r="L93" s="31">
        <v>210</v>
      </c>
      <c r="M93" s="32"/>
      <c r="N93" s="33">
        <f t="shared" si="0"/>
        <v>0</v>
      </c>
      <c r="O93" s="19"/>
    </row>
    <row r="94" spans="2:15" ht="16.5" customHeight="1" x14ac:dyDescent="0.2">
      <c r="B94" s="7"/>
      <c r="C94" s="8"/>
      <c r="D94" s="8"/>
      <c r="E94" s="8"/>
      <c r="F94" s="8"/>
      <c r="G94" s="10"/>
      <c r="H94" s="10"/>
      <c r="I94" s="10"/>
      <c r="J94" s="30" t="s">
        <v>130</v>
      </c>
      <c r="K94" s="63"/>
      <c r="L94" s="31">
        <v>80</v>
      </c>
      <c r="M94" s="32"/>
      <c r="N94" s="33">
        <f t="shared" si="0"/>
        <v>0</v>
      </c>
      <c r="O94" s="19"/>
    </row>
    <row r="95" spans="2:15" ht="16.5" customHeight="1" x14ac:dyDescent="0.2">
      <c r="B95" s="7"/>
      <c r="C95" s="8"/>
      <c r="D95" s="8"/>
      <c r="E95" s="8"/>
      <c r="F95" s="8"/>
      <c r="G95" s="10"/>
      <c r="H95" s="10"/>
      <c r="I95" s="10"/>
      <c r="J95" s="46" t="s">
        <v>104</v>
      </c>
      <c r="K95" s="82" t="str">
        <f>IF(AND(L10=2, K18&lt;&gt;"", K19&lt;&gt;""), 1, "")</f>
        <v/>
      </c>
      <c r="L95" s="44" t="s">
        <v>96</v>
      </c>
      <c r="M95" s="32"/>
      <c r="N95" s="33">
        <f>IF(K95=1, SUM(N90:N94), )</f>
        <v>0</v>
      </c>
      <c r="O95" s="19"/>
    </row>
    <row r="96" spans="2:15" ht="25.5" customHeight="1" x14ac:dyDescent="0.2">
      <c r="B96" s="7"/>
      <c r="C96" s="8"/>
      <c r="D96" s="8"/>
      <c r="E96" s="8"/>
      <c r="F96" s="8"/>
      <c r="J96" s="9"/>
      <c r="K96" s="9"/>
      <c r="L96" s="9"/>
      <c r="M96" s="9"/>
      <c r="N96" s="9"/>
      <c r="O96" s="19"/>
    </row>
    <row r="97" spans="2:15" ht="20.25" x14ac:dyDescent="0.25">
      <c r="B97" s="7"/>
      <c r="C97" s="8"/>
      <c r="D97" s="8"/>
      <c r="E97" s="8"/>
      <c r="F97" s="8"/>
      <c r="J97" s="20" t="s">
        <v>5</v>
      </c>
      <c r="K97" s="21"/>
      <c r="L97" s="95">
        <f>SUM(N29:N95)</f>
        <v>0</v>
      </c>
      <c r="M97" s="95"/>
      <c r="N97" s="95"/>
      <c r="O97" s="19"/>
    </row>
    <row r="98" spans="2:15" ht="25.5" customHeight="1" thickBot="1" x14ac:dyDescent="0.25"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3"/>
      <c r="N98" s="23"/>
      <c r="O98" s="36"/>
    </row>
  </sheetData>
  <sheetProtection algorithmName="SHA-512" hashValue="XxytXhjOSgKtfJJZCTL8dVTJjmUFR9AsBSKOLLRNBoJIhku5zWn2MNIugEOSFKQ7YCfE7JJoDZ0jxGJMKzTP3g==" saltValue="AeJvFRdn7y7QD3Ay7bWBYQ==" spinCount="100000" sheet="1" objects="1" scenarios="1"/>
  <mergeCells count="49">
    <mergeCell ref="L18:N19"/>
    <mergeCell ref="J21:K21"/>
    <mergeCell ref="J23:K23"/>
    <mergeCell ref="J24:K24"/>
    <mergeCell ref="J26:K26"/>
    <mergeCell ref="L97:N97"/>
    <mergeCell ref="K29:K30"/>
    <mergeCell ref="L29:L30"/>
    <mergeCell ref="N29:N30"/>
    <mergeCell ref="K31:K32"/>
    <mergeCell ref="L31:L32"/>
    <mergeCell ref="N31:N32"/>
    <mergeCell ref="C48:J49"/>
    <mergeCell ref="C50:J51"/>
    <mergeCell ref="K48:K49"/>
    <mergeCell ref="L48:L49"/>
    <mergeCell ref="K50:K51"/>
    <mergeCell ref="O52:O53"/>
    <mergeCell ref="N61:N62"/>
    <mergeCell ref="L61:L62"/>
    <mergeCell ref="C61:J62"/>
    <mergeCell ref="C59:J60"/>
    <mergeCell ref="K61:K62"/>
    <mergeCell ref="K59:K60"/>
    <mergeCell ref="L59:L60"/>
    <mergeCell ref="N59:N60"/>
    <mergeCell ref="L52:L53"/>
    <mergeCell ref="C52:J53"/>
    <mergeCell ref="B8:O8"/>
    <mergeCell ref="N42:N43"/>
    <mergeCell ref="K46:K47"/>
    <mergeCell ref="L46:L47"/>
    <mergeCell ref="N46:N47"/>
    <mergeCell ref="C29:J30"/>
    <mergeCell ref="C31:J32"/>
    <mergeCell ref="C42:J43"/>
    <mergeCell ref="C44:J45"/>
    <mergeCell ref="O42:O43"/>
    <mergeCell ref="C46:J47"/>
    <mergeCell ref="L42:L43"/>
    <mergeCell ref="K42:K43"/>
    <mergeCell ref="K44:K45"/>
    <mergeCell ref="L44:L45"/>
    <mergeCell ref="N44:N45"/>
    <mergeCell ref="N48:N49"/>
    <mergeCell ref="L50:L51"/>
    <mergeCell ref="N50:N51"/>
    <mergeCell ref="K52:K53"/>
    <mergeCell ref="N52:N53"/>
  </mergeCells>
  <dataValidations count="3">
    <dataValidation operator="lessThanOrEqual" allowBlank="1" showInputMessage="1" showErrorMessage="1" errorTitle="Período Máximo ultrapassado" error="Esta tabela está disponível somente para processos com 126 dias de armazenagem. _x000a__x000a_Favor considerar dias excedentes para o valor total." sqref="J26" xr:uid="{27051AA5-D80C-4D85-8A23-56CDEBC5EF9F}"/>
    <dataValidation type="whole" showInputMessage="1" showErrorMessage="1" sqref="L10" xr:uid="{764A6C2A-E6FE-402C-ABAC-BD05030CA6F6}">
      <formula1>1</formula1>
      <formula2>3</formula2>
    </dataValidation>
    <dataValidation type="whole" showInputMessage="1" showErrorMessage="1" sqref="L15 L12" xr:uid="{CCD729B2-213C-42DB-8B01-D8D8E97038B6}">
      <formula1>1</formula1>
      <formula2>2</formula2>
    </dataValidation>
  </dataValidations>
  <pageMargins left="7.874015748031496E-2" right="7.874015748031496E-2" top="0.19685039370078741" bottom="0.19685039370078741" header="0.31496062992125984" footer="0.31496062992125984"/>
  <pageSetup paperSize="9"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6</xdr:col>
                    <xdr:colOff>57150</xdr:colOff>
                    <xdr:row>9</xdr:row>
                    <xdr:rowOff>57150</xdr:rowOff>
                  </from>
                  <to>
                    <xdr:col>9</xdr:col>
                    <xdr:colOff>1428750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6</xdr:col>
                    <xdr:colOff>57150</xdr:colOff>
                    <xdr:row>11</xdr:row>
                    <xdr:rowOff>57150</xdr:rowOff>
                  </from>
                  <to>
                    <xdr:col>9</xdr:col>
                    <xdr:colOff>1428750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>
                  <from>
                    <xdr:col>6</xdr:col>
                    <xdr:colOff>57150</xdr:colOff>
                    <xdr:row>13</xdr:row>
                    <xdr:rowOff>57150</xdr:rowOff>
                  </from>
                  <to>
                    <xdr:col>9</xdr:col>
                    <xdr:colOff>1428750</xdr:colOff>
                    <xdr:row>13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FCL</vt:lpstr>
      <vt:lpstr>LCL</vt:lpstr>
      <vt:lpstr>FCL!Area_de_impressao</vt:lpstr>
      <vt:lpstr>LCL!Area_de_impressao</vt:lpstr>
    </vt:vector>
  </TitlesOfParts>
  <Company>Portonave S/A - Terminais Portuários de Navegantes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tbraga@portonave.com.br</dc:creator>
  <cp:lastModifiedBy>Pedro Leandro de A. Cruz - TI/TBSA</cp:lastModifiedBy>
  <cp:lastPrinted>2024-04-22T17:47:04Z</cp:lastPrinted>
  <dcterms:created xsi:type="dcterms:W3CDTF">2007-11-08T13:25:48Z</dcterms:created>
  <dcterms:modified xsi:type="dcterms:W3CDTF">2024-05-31T19:07:16Z</dcterms:modified>
</cp:coreProperties>
</file>